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charts/chart59.xml" ContentType="application/vnd.openxmlformats-officedocument.drawingml.chart+xml"/>
  <Override PartName="/xl/charts/style59.xml" ContentType="application/vnd.ms-office.chartstyle+xml"/>
  <Override PartName="/xl/charts/colors59.xml" ContentType="application/vnd.ms-office.chartcolorstyle+xml"/>
  <Override PartName="/xl/charts/chart60.xml" ContentType="application/vnd.openxmlformats-officedocument.drawingml.chart+xml"/>
  <Override PartName="/xl/charts/style60.xml" ContentType="application/vnd.ms-office.chartstyle+xml"/>
  <Override PartName="/xl/charts/colors60.xml" ContentType="application/vnd.ms-office.chartcolorstyle+xml"/>
  <Override PartName="/xl/charts/chart61.xml" ContentType="application/vnd.openxmlformats-officedocument.drawingml.chart+xml"/>
  <Override PartName="/xl/charts/style61.xml" ContentType="application/vnd.ms-office.chartstyle+xml"/>
  <Override PartName="/xl/charts/colors61.xml" ContentType="application/vnd.ms-office.chartcolorstyle+xml"/>
  <Override PartName="/xl/charts/chart62.xml" ContentType="application/vnd.openxmlformats-officedocument.drawingml.chart+xml"/>
  <Override PartName="/xl/charts/style62.xml" ContentType="application/vnd.ms-office.chartstyle+xml"/>
  <Override PartName="/xl/charts/colors62.xml" ContentType="application/vnd.ms-office.chartcolorstyle+xml"/>
  <Override PartName="/xl/charts/chart63.xml" ContentType="application/vnd.openxmlformats-officedocument.drawingml.chart+xml"/>
  <Override PartName="/xl/charts/style63.xml" ContentType="application/vnd.ms-office.chartstyle+xml"/>
  <Override PartName="/xl/charts/colors63.xml" ContentType="application/vnd.ms-office.chartcolorstyle+xml"/>
  <Override PartName="/xl/charts/chart64.xml" ContentType="application/vnd.openxmlformats-officedocument.drawingml.chart+xml"/>
  <Override PartName="/xl/charts/style64.xml" ContentType="application/vnd.ms-office.chartstyle+xml"/>
  <Override PartName="/xl/charts/colors64.xml" ContentType="application/vnd.ms-office.chartcolorstyle+xml"/>
  <Override PartName="/xl/charts/chart65.xml" ContentType="application/vnd.openxmlformats-officedocument.drawingml.chart+xml"/>
  <Override PartName="/xl/charts/style65.xml" ContentType="application/vnd.ms-office.chartstyle+xml"/>
  <Override PartName="/xl/charts/colors65.xml" ContentType="application/vnd.ms-office.chartcolorstyle+xml"/>
  <Override PartName="/xl/charts/chart66.xml" ContentType="application/vnd.openxmlformats-officedocument.drawingml.chart+xml"/>
  <Override PartName="/xl/charts/style66.xml" ContentType="application/vnd.ms-office.chartstyle+xml"/>
  <Override PartName="/xl/charts/colors66.xml" ContentType="application/vnd.ms-office.chartcolorstyle+xml"/>
  <Override PartName="/xl/charts/chart67.xml" ContentType="application/vnd.openxmlformats-officedocument.drawingml.chart+xml"/>
  <Override PartName="/xl/charts/style67.xml" ContentType="application/vnd.ms-office.chartstyle+xml"/>
  <Override PartName="/xl/charts/colors67.xml" ContentType="application/vnd.ms-office.chartcolorstyle+xml"/>
  <Override PartName="/xl/charts/chart68.xml" ContentType="application/vnd.openxmlformats-officedocument.drawingml.chart+xml"/>
  <Override PartName="/xl/charts/style68.xml" ContentType="application/vnd.ms-office.chartstyle+xml"/>
  <Override PartName="/xl/charts/colors68.xml" ContentType="application/vnd.ms-office.chartcolorstyle+xml"/>
  <Override PartName="/xl/charts/chart69.xml" ContentType="application/vnd.openxmlformats-officedocument.drawingml.chart+xml"/>
  <Override PartName="/xl/charts/style69.xml" ContentType="application/vnd.ms-office.chartstyle+xml"/>
  <Override PartName="/xl/charts/colors69.xml" ContentType="application/vnd.ms-office.chartcolorstyle+xml"/>
  <Override PartName="/xl/charts/chart70.xml" ContentType="application/vnd.openxmlformats-officedocument.drawingml.chart+xml"/>
  <Override PartName="/xl/charts/style70.xml" ContentType="application/vnd.ms-office.chartstyle+xml"/>
  <Override PartName="/xl/charts/colors70.xml" ContentType="application/vnd.ms-office.chartcolorstyle+xml"/>
  <Override PartName="/xl/charts/chart71.xml" ContentType="application/vnd.openxmlformats-officedocument.drawingml.chart+xml"/>
  <Override PartName="/xl/charts/style71.xml" ContentType="application/vnd.ms-office.chartstyle+xml"/>
  <Override PartName="/xl/charts/colors71.xml" ContentType="application/vnd.ms-office.chartcolorstyle+xml"/>
  <Override PartName="/xl/charts/chart72.xml" ContentType="application/vnd.openxmlformats-officedocument.drawingml.chart+xml"/>
  <Override PartName="/xl/charts/style72.xml" ContentType="application/vnd.ms-office.chartstyle+xml"/>
  <Override PartName="/xl/charts/colors72.xml" ContentType="application/vnd.ms-office.chartcolorstyle+xml"/>
  <Override PartName="/xl/charts/chart73.xml" ContentType="application/vnd.openxmlformats-officedocument.drawingml.chart+xml"/>
  <Override PartName="/xl/charts/style73.xml" ContentType="application/vnd.ms-office.chartstyle+xml"/>
  <Override PartName="/xl/charts/colors73.xml" ContentType="application/vnd.ms-office.chartcolorstyle+xml"/>
  <Override PartName="/xl/charts/chart74.xml" ContentType="application/vnd.openxmlformats-officedocument.drawingml.chart+xml"/>
  <Override PartName="/xl/charts/style74.xml" ContentType="application/vnd.ms-office.chartstyle+xml"/>
  <Override PartName="/xl/charts/colors74.xml" ContentType="application/vnd.ms-office.chartcolorstyle+xml"/>
  <Override PartName="/xl/charts/chart75.xml" ContentType="application/vnd.openxmlformats-officedocument.drawingml.chart+xml"/>
  <Override PartName="/xl/charts/style75.xml" ContentType="application/vnd.ms-office.chartstyle+xml"/>
  <Override PartName="/xl/charts/colors75.xml" ContentType="application/vnd.ms-office.chartcolorstyle+xml"/>
  <Override PartName="/xl/charts/chart76.xml" ContentType="application/vnd.openxmlformats-officedocument.drawingml.chart+xml"/>
  <Override PartName="/xl/charts/style76.xml" ContentType="application/vnd.ms-office.chartstyle+xml"/>
  <Override PartName="/xl/charts/colors76.xml" ContentType="application/vnd.ms-office.chartcolorstyle+xml"/>
  <Override PartName="/xl/charts/chart77.xml" ContentType="application/vnd.openxmlformats-officedocument.drawingml.chart+xml"/>
  <Override PartName="/xl/charts/style77.xml" ContentType="application/vnd.ms-office.chartstyle+xml"/>
  <Override PartName="/xl/charts/colors77.xml" ContentType="application/vnd.ms-office.chartcolorstyle+xml"/>
  <Override PartName="/xl/charts/chart78.xml" ContentType="application/vnd.openxmlformats-officedocument.drawingml.chart+xml"/>
  <Override PartName="/xl/charts/style78.xml" ContentType="application/vnd.ms-office.chartstyle+xml"/>
  <Override PartName="/xl/charts/colors78.xml" ContentType="application/vnd.ms-office.chartcolorstyle+xml"/>
  <Override PartName="/xl/charts/chart79.xml" ContentType="application/vnd.openxmlformats-officedocument.drawingml.chart+xml"/>
  <Override PartName="/xl/charts/style79.xml" ContentType="application/vnd.ms-office.chartstyle+xml"/>
  <Override PartName="/xl/charts/colors79.xml" ContentType="application/vnd.ms-office.chartcolorstyle+xml"/>
  <Override PartName="/xl/charts/chart80.xml" ContentType="application/vnd.openxmlformats-officedocument.drawingml.chart+xml"/>
  <Override PartName="/xl/charts/style80.xml" ContentType="application/vnd.ms-office.chartstyle+xml"/>
  <Override PartName="/xl/charts/colors80.xml" ContentType="application/vnd.ms-office.chartcolorstyle+xml"/>
  <Override PartName="/xl/charts/chart81.xml" ContentType="application/vnd.openxmlformats-officedocument.drawingml.chart+xml"/>
  <Override PartName="/xl/charts/style81.xml" ContentType="application/vnd.ms-office.chartstyle+xml"/>
  <Override PartName="/xl/charts/colors81.xml" ContentType="application/vnd.ms-office.chartcolorstyle+xml"/>
  <Override PartName="/xl/charts/chart82.xml" ContentType="application/vnd.openxmlformats-officedocument.drawingml.chart+xml"/>
  <Override PartName="/xl/charts/style82.xml" ContentType="application/vnd.ms-office.chartstyle+xml"/>
  <Override PartName="/xl/charts/colors82.xml" ContentType="application/vnd.ms-office.chartcolorstyle+xml"/>
  <Override PartName="/xl/charts/chart83.xml" ContentType="application/vnd.openxmlformats-officedocument.drawingml.chart+xml"/>
  <Override PartName="/xl/charts/style83.xml" ContentType="application/vnd.ms-office.chartstyle+xml"/>
  <Override PartName="/xl/charts/colors83.xml" ContentType="application/vnd.ms-office.chartcolorstyle+xml"/>
  <Override PartName="/xl/charts/chart84.xml" ContentType="application/vnd.openxmlformats-officedocument.drawingml.chart+xml"/>
  <Override PartName="/xl/charts/style84.xml" ContentType="application/vnd.ms-office.chartstyle+xml"/>
  <Override PartName="/xl/charts/colors84.xml" ContentType="application/vnd.ms-office.chartcolorstyle+xml"/>
  <Override PartName="/xl/charts/chart85.xml" ContentType="application/vnd.openxmlformats-officedocument.drawingml.chart+xml"/>
  <Override PartName="/xl/charts/style85.xml" ContentType="application/vnd.ms-office.chartstyle+xml"/>
  <Override PartName="/xl/charts/colors85.xml" ContentType="application/vnd.ms-office.chartcolorstyle+xml"/>
  <Override PartName="/xl/charts/chart86.xml" ContentType="application/vnd.openxmlformats-officedocument.drawingml.chart+xml"/>
  <Override PartName="/xl/charts/style86.xml" ContentType="application/vnd.ms-office.chartstyle+xml"/>
  <Override PartName="/xl/charts/colors86.xml" ContentType="application/vnd.ms-office.chartcolorstyle+xml"/>
  <Override PartName="/xl/charts/chart87.xml" ContentType="application/vnd.openxmlformats-officedocument.drawingml.chart+xml"/>
  <Override PartName="/xl/charts/style87.xml" ContentType="application/vnd.ms-office.chartstyle+xml"/>
  <Override PartName="/xl/charts/colors87.xml" ContentType="application/vnd.ms-office.chartcolorstyle+xml"/>
  <Override PartName="/xl/charts/chart88.xml" ContentType="application/vnd.openxmlformats-officedocument.drawingml.chart+xml"/>
  <Override PartName="/xl/charts/style88.xml" ContentType="application/vnd.ms-office.chartstyle+xml"/>
  <Override PartName="/xl/charts/colors88.xml" ContentType="application/vnd.ms-office.chartcolorstyle+xml"/>
  <Override PartName="/xl/charts/chart89.xml" ContentType="application/vnd.openxmlformats-officedocument.drawingml.chart+xml"/>
  <Override PartName="/xl/charts/style89.xml" ContentType="application/vnd.ms-office.chartstyle+xml"/>
  <Override PartName="/xl/charts/colors89.xml" ContentType="application/vnd.ms-office.chartcolorstyle+xml"/>
  <Override PartName="/xl/charts/chart90.xml" ContentType="application/vnd.openxmlformats-officedocument.drawingml.chart+xml"/>
  <Override PartName="/xl/charts/style90.xml" ContentType="application/vnd.ms-office.chartstyle+xml"/>
  <Override PartName="/xl/charts/colors90.xml" ContentType="application/vnd.ms-office.chartcolorstyle+xml"/>
  <Override PartName="/xl/charts/chart91.xml" ContentType="application/vnd.openxmlformats-officedocument.drawingml.chart+xml"/>
  <Override PartName="/xl/charts/style91.xml" ContentType="application/vnd.ms-office.chartstyle+xml"/>
  <Override PartName="/xl/charts/colors91.xml" ContentType="application/vnd.ms-office.chartcolorstyle+xml"/>
  <Override PartName="/xl/charts/chart92.xml" ContentType="application/vnd.openxmlformats-officedocument.drawingml.chart+xml"/>
  <Override PartName="/xl/charts/style92.xml" ContentType="application/vnd.ms-office.chartstyle+xml"/>
  <Override PartName="/xl/charts/colors92.xml" ContentType="application/vnd.ms-office.chartcolorstyle+xml"/>
  <Override PartName="/xl/charts/chart93.xml" ContentType="application/vnd.openxmlformats-officedocument.drawingml.chart+xml"/>
  <Override PartName="/xl/charts/style93.xml" ContentType="application/vnd.ms-office.chartstyle+xml"/>
  <Override PartName="/xl/charts/colors93.xml" ContentType="application/vnd.ms-office.chartcolorstyle+xml"/>
  <Override PartName="/xl/charts/chart94.xml" ContentType="application/vnd.openxmlformats-officedocument.drawingml.chart+xml"/>
  <Override PartName="/xl/charts/style94.xml" ContentType="application/vnd.ms-office.chartstyle+xml"/>
  <Override PartName="/xl/charts/colors94.xml" ContentType="application/vnd.ms-office.chartcolorstyle+xml"/>
  <Override PartName="/xl/charts/chart95.xml" ContentType="application/vnd.openxmlformats-officedocument.drawingml.chart+xml"/>
  <Override PartName="/xl/charts/style95.xml" ContentType="application/vnd.ms-office.chartstyle+xml"/>
  <Override PartName="/xl/charts/colors95.xml" ContentType="application/vnd.ms-office.chartcolorstyle+xml"/>
  <Override PartName="/xl/charts/chart96.xml" ContentType="application/vnd.openxmlformats-officedocument.drawingml.chart+xml"/>
  <Override PartName="/xl/charts/style96.xml" ContentType="application/vnd.ms-office.chartstyle+xml"/>
  <Override PartName="/xl/charts/colors96.xml" ContentType="application/vnd.ms-office.chartcolorstyle+xml"/>
  <Override PartName="/xl/charts/chart97.xml" ContentType="application/vnd.openxmlformats-officedocument.drawingml.chart+xml"/>
  <Override PartName="/xl/charts/style97.xml" ContentType="application/vnd.ms-office.chartstyle+xml"/>
  <Override PartName="/xl/charts/colors97.xml" ContentType="application/vnd.ms-office.chartcolorstyle+xml"/>
  <Override PartName="/xl/charts/chart98.xml" ContentType="application/vnd.openxmlformats-officedocument.drawingml.chart+xml"/>
  <Override PartName="/xl/charts/style98.xml" ContentType="application/vnd.ms-office.chartstyle+xml"/>
  <Override PartName="/xl/charts/colors98.xml" ContentType="application/vnd.ms-office.chartcolorstyle+xml"/>
  <Override PartName="/xl/charts/chart99.xml" ContentType="application/vnd.openxmlformats-officedocument.drawingml.chart+xml"/>
  <Override PartName="/xl/charts/style99.xml" ContentType="application/vnd.ms-office.chartstyle+xml"/>
  <Override PartName="/xl/charts/colors99.xml" ContentType="application/vnd.ms-office.chartcolorstyle+xml"/>
  <Override PartName="/xl/charts/chart100.xml" ContentType="application/vnd.openxmlformats-officedocument.drawingml.chart+xml"/>
  <Override PartName="/xl/charts/style100.xml" ContentType="application/vnd.ms-office.chartstyle+xml"/>
  <Override PartName="/xl/charts/colors100.xml" ContentType="application/vnd.ms-office.chartcolorstyle+xml"/>
  <Override PartName="/xl/charts/chart101.xml" ContentType="application/vnd.openxmlformats-officedocument.drawingml.chart+xml"/>
  <Override PartName="/xl/charts/style101.xml" ContentType="application/vnd.ms-office.chartstyle+xml"/>
  <Override PartName="/xl/charts/colors101.xml" ContentType="application/vnd.ms-office.chartcolorstyle+xml"/>
  <Override PartName="/xl/charts/chart102.xml" ContentType="application/vnd.openxmlformats-officedocument.drawingml.chart+xml"/>
  <Override PartName="/xl/charts/style102.xml" ContentType="application/vnd.ms-office.chartstyle+xml"/>
  <Override PartName="/xl/charts/colors102.xml" ContentType="application/vnd.ms-office.chartcolorstyle+xml"/>
  <Override PartName="/xl/charts/chart103.xml" ContentType="application/vnd.openxmlformats-officedocument.drawingml.chart+xml"/>
  <Override PartName="/xl/charts/style103.xml" ContentType="application/vnd.ms-office.chartstyle+xml"/>
  <Override PartName="/xl/charts/colors103.xml" ContentType="application/vnd.ms-office.chartcolorstyle+xml"/>
  <Override PartName="/xl/charts/chart104.xml" ContentType="application/vnd.openxmlformats-officedocument.drawingml.chart+xml"/>
  <Override PartName="/xl/charts/style104.xml" ContentType="application/vnd.ms-office.chartstyle+xml"/>
  <Override PartName="/xl/charts/colors104.xml" ContentType="application/vnd.ms-office.chartcolorstyle+xml"/>
  <Override PartName="/xl/charts/chart105.xml" ContentType="application/vnd.openxmlformats-officedocument.drawingml.chart+xml"/>
  <Override PartName="/xl/charts/style105.xml" ContentType="application/vnd.ms-office.chartstyle+xml"/>
  <Override PartName="/xl/charts/colors105.xml" ContentType="application/vnd.ms-office.chartcolorstyle+xml"/>
  <Override PartName="/xl/charts/chart106.xml" ContentType="application/vnd.openxmlformats-officedocument.drawingml.chart+xml"/>
  <Override PartName="/xl/charts/style106.xml" ContentType="application/vnd.ms-office.chartstyle+xml"/>
  <Override PartName="/xl/charts/colors106.xml" ContentType="application/vnd.ms-office.chartcolorsty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C:\Users\0-miod\Downloads\"/>
    </mc:Choice>
  </mc:AlternateContent>
  <xr:revisionPtr revIDLastSave="0" documentId="13_ncr:1_{55E718DD-B904-4A8F-8618-CF12AE4AE260}" xr6:coauthVersionLast="47" xr6:coauthVersionMax="47" xr10:uidLastSave="{00000000-0000-0000-0000-000000000000}"/>
  <bookViews>
    <workbookView xWindow="-120" yWindow="-18120" windowWidth="29040" windowHeight="17640" xr2:uid="{00000000-000D-0000-FFFF-FFFF00000000}"/>
  </bookViews>
  <sheets>
    <sheet name="Database kontormøbler - 2021" sheetId="8" r:id="rId1"/>
    <sheet name="Database møbler 2021 - grafer" sheetId="7" r:id="rId2"/>
    <sheet name="Utregning av grafer" sheetId="9" r:id="rId3"/>
  </sheets>
  <calcPr calcId="191028" iterateDelta="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I27" i="9" l="1"/>
  <c r="BA6" i="9"/>
  <c r="BA5" i="9" s="1"/>
  <c r="AZ6" i="9"/>
  <c r="AY6" i="9"/>
  <c r="AX6" i="9"/>
  <c r="AW6" i="9"/>
  <c r="AW5" i="9" s="1"/>
  <c r="AV6" i="9"/>
  <c r="AV5" i="9" s="1"/>
  <c r="AU6" i="9"/>
  <c r="AT6" i="9"/>
  <c r="AZ3" i="9"/>
  <c r="AS6" i="9"/>
  <c r="AS5" i="9" s="1"/>
  <c r="AR6" i="9"/>
  <c r="AR5" i="9" s="1"/>
  <c r="AQ6" i="9"/>
  <c r="AQ5" i="9" s="1"/>
  <c r="AP6" i="9"/>
  <c r="AO6" i="9"/>
  <c r="AO5" i="9"/>
  <c r="AP5" i="9"/>
  <c r="AT5" i="9"/>
  <c r="AU5" i="9"/>
  <c r="AY5" i="9"/>
  <c r="BA3" i="9"/>
  <c r="AY3" i="9"/>
  <c r="AX3" i="9"/>
  <c r="AW3" i="9"/>
  <c r="AV3" i="9"/>
  <c r="AU3" i="9"/>
  <c r="AT3" i="9"/>
  <c r="AS3" i="9"/>
  <c r="AR3" i="9"/>
  <c r="AQ3" i="9"/>
  <c r="AP3" i="9"/>
  <c r="AO3" i="9"/>
  <c r="AJ57" i="8"/>
  <c r="AJ56" i="8"/>
  <c r="AL57" i="8"/>
  <c r="AM57" i="8"/>
  <c r="AN57" i="8"/>
  <c r="AO57" i="8"/>
  <c r="AP57" i="8"/>
  <c r="AQ57" i="8"/>
  <c r="AR57" i="8"/>
  <c r="AS57" i="8"/>
  <c r="AT57" i="8"/>
  <c r="AU57" i="8"/>
  <c r="AV57" i="8"/>
  <c r="AW57" i="8"/>
  <c r="AX57" i="8"/>
  <c r="AY57" i="8"/>
  <c r="AZ57" i="8"/>
  <c r="BA57" i="8"/>
  <c r="BB57" i="8"/>
  <c r="BC57" i="8"/>
  <c r="BD57" i="8"/>
  <c r="BE57" i="8"/>
  <c r="BF57" i="8"/>
  <c r="BG57" i="8"/>
  <c r="BH57" i="8"/>
  <c r="BI57" i="8"/>
  <c r="BJ57" i="8"/>
  <c r="BK57" i="8"/>
  <c r="BL57" i="8"/>
  <c r="BM57" i="8"/>
  <c r="BN57" i="8"/>
  <c r="BO57" i="8"/>
  <c r="BP57" i="8"/>
  <c r="BQ57" i="8"/>
  <c r="BR57" i="8"/>
  <c r="BS57" i="8"/>
  <c r="BT57" i="8"/>
  <c r="BU57" i="8"/>
  <c r="BV57" i="8"/>
  <c r="AK57" i="8"/>
  <c r="AL56" i="8"/>
  <c r="AM56" i="8"/>
  <c r="AN56" i="8"/>
  <c r="AO56" i="8"/>
  <c r="AP56" i="8"/>
  <c r="AQ56" i="8"/>
  <c r="AR56" i="8"/>
  <c r="AS56" i="8"/>
  <c r="AT56" i="8"/>
  <c r="AU56" i="8"/>
  <c r="AV56" i="8"/>
  <c r="AW56" i="8"/>
  <c r="AX56" i="8"/>
  <c r="AY56" i="8"/>
  <c r="AZ56" i="8"/>
  <c r="BA56" i="8"/>
  <c r="BB56" i="8"/>
  <c r="BC56" i="8"/>
  <c r="BD56" i="8"/>
  <c r="BE56" i="8"/>
  <c r="BF56" i="8"/>
  <c r="BG56" i="8"/>
  <c r="BH56" i="8"/>
  <c r="BI56" i="8"/>
  <c r="BJ56" i="8"/>
  <c r="BK56" i="8"/>
  <c r="BL56" i="8"/>
  <c r="BM56" i="8"/>
  <c r="BN56" i="8"/>
  <c r="BO56" i="8"/>
  <c r="BP56" i="8"/>
  <c r="BQ56" i="8"/>
  <c r="BR56" i="8"/>
  <c r="BS56" i="8"/>
  <c r="BT56" i="8"/>
  <c r="BU56" i="8"/>
  <c r="BV56" i="8"/>
  <c r="AK56" i="8"/>
  <c r="K3" i="9"/>
  <c r="AM3" i="9"/>
  <c r="AM4" i="9" s="1"/>
  <c r="AL3" i="9"/>
  <c r="AK3" i="9"/>
  <c r="AK4" i="9" s="1"/>
  <c r="AJ3" i="9"/>
  <c r="AJ4" i="9" s="1"/>
  <c r="AI3" i="9"/>
  <c r="AI4" i="9" s="1"/>
  <c r="AI5" i="9" s="1"/>
  <c r="AH3" i="9"/>
  <c r="AG3" i="9"/>
  <c r="AF3" i="9"/>
  <c r="AF4" i="9" s="1"/>
  <c r="AE3" i="9"/>
  <c r="AE4" i="9" s="1"/>
  <c r="AD3" i="9"/>
  <c r="AC3" i="9"/>
  <c r="AB3" i="9"/>
  <c r="AB4" i="9" s="1"/>
  <c r="AA3" i="9"/>
  <c r="AA4" i="9" s="1"/>
  <c r="AA5" i="9" s="1"/>
  <c r="B363" i="9"/>
  <c r="B362" i="9"/>
  <c r="B361" i="9"/>
  <c r="I355" i="9"/>
  <c r="J355" i="9"/>
  <c r="G355" i="9"/>
  <c r="G356" i="9"/>
  <c r="G354" i="9"/>
  <c r="G347" i="9"/>
  <c r="G348" i="9"/>
  <c r="G346" i="9"/>
  <c r="G340" i="9"/>
  <c r="G339" i="9"/>
  <c r="G338" i="9"/>
  <c r="H330" i="9"/>
  <c r="I330" i="9"/>
  <c r="H331" i="9"/>
  <c r="I331" i="9"/>
  <c r="I329" i="9"/>
  <c r="H329" i="9"/>
  <c r="G322" i="9"/>
  <c r="G323" i="9"/>
  <c r="G321" i="9"/>
  <c r="G314" i="9"/>
  <c r="G315" i="9"/>
  <c r="G313" i="9"/>
  <c r="G306" i="9"/>
  <c r="G307" i="9"/>
  <c r="G305" i="9"/>
  <c r="G298" i="9"/>
  <c r="G299" i="9"/>
  <c r="G297" i="9"/>
  <c r="H284" i="9"/>
  <c r="I284" i="9"/>
  <c r="J284" i="9"/>
  <c r="H285" i="9"/>
  <c r="I285" i="9"/>
  <c r="J285" i="9"/>
  <c r="J283" i="9"/>
  <c r="I283" i="9"/>
  <c r="H283" i="9"/>
  <c r="J276" i="9"/>
  <c r="J277" i="9"/>
  <c r="J275" i="9"/>
  <c r="I276" i="9"/>
  <c r="I277" i="9"/>
  <c r="I275" i="9"/>
  <c r="H277" i="9"/>
  <c r="H276" i="9"/>
  <c r="H275" i="9"/>
  <c r="G268" i="9"/>
  <c r="G269" i="9"/>
  <c r="G267" i="9"/>
  <c r="G261" i="9"/>
  <c r="G260" i="9"/>
  <c r="G259" i="9"/>
  <c r="G252" i="9"/>
  <c r="G253" i="9"/>
  <c r="G251" i="9"/>
  <c r="G244" i="9"/>
  <c r="G245" i="9"/>
  <c r="G243" i="9"/>
  <c r="G236" i="9"/>
  <c r="G237" i="9"/>
  <c r="G235" i="9"/>
  <c r="H209" i="9"/>
  <c r="H208" i="9"/>
  <c r="H207" i="9"/>
  <c r="I199" i="9"/>
  <c r="J199" i="9"/>
  <c r="I200" i="9"/>
  <c r="J200" i="9"/>
  <c r="I201" i="9"/>
  <c r="J201" i="9"/>
  <c r="H201" i="9"/>
  <c r="H200" i="9"/>
  <c r="H199" i="9"/>
  <c r="J185" i="9"/>
  <c r="I185" i="9"/>
  <c r="I186" i="9"/>
  <c r="J186" i="9"/>
  <c r="I187" i="9"/>
  <c r="J187" i="9"/>
  <c r="H187" i="9"/>
  <c r="H186" i="9"/>
  <c r="H185" i="9"/>
  <c r="K180" i="9"/>
  <c r="L180" i="9"/>
  <c r="M180" i="9"/>
  <c r="N180" i="9"/>
  <c r="J180" i="9"/>
  <c r="N179" i="9"/>
  <c r="K179" i="9"/>
  <c r="L179" i="9"/>
  <c r="M179" i="9"/>
  <c r="J179" i="9"/>
  <c r="L178" i="9"/>
  <c r="J178" i="9"/>
  <c r="K178" i="9"/>
  <c r="M178" i="9"/>
  <c r="N178" i="9"/>
  <c r="G170" i="9"/>
  <c r="G171" i="9"/>
  <c r="G169" i="9"/>
  <c r="D170" i="9"/>
  <c r="D171" i="9"/>
  <c r="J157" i="9"/>
  <c r="J156" i="9"/>
  <c r="J155" i="9"/>
  <c r="J147" i="9"/>
  <c r="I157" i="9"/>
  <c r="I155" i="9"/>
  <c r="I156" i="9"/>
  <c r="H157" i="9"/>
  <c r="H156" i="9"/>
  <c r="H155" i="9"/>
  <c r="I147" i="9"/>
  <c r="I148" i="9"/>
  <c r="I149" i="9"/>
  <c r="H149" i="9"/>
  <c r="H148" i="9"/>
  <c r="H147" i="9"/>
  <c r="L133" i="9"/>
  <c r="J134" i="9"/>
  <c r="I134" i="9"/>
  <c r="I133" i="9"/>
  <c r="I135" i="9"/>
  <c r="H135" i="9"/>
  <c r="H134" i="9"/>
  <c r="H133" i="9"/>
  <c r="H127" i="9"/>
  <c r="I126" i="9"/>
  <c r="H126" i="9"/>
  <c r="I125" i="9"/>
  <c r="H125" i="9"/>
  <c r="M101" i="9"/>
  <c r="F101" i="9"/>
  <c r="F106" i="9"/>
  <c r="G92" i="9"/>
  <c r="G91" i="9"/>
  <c r="G90" i="9"/>
  <c r="P83" i="9"/>
  <c r="P84" i="9"/>
  <c r="P82" i="9"/>
  <c r="G83" i="9"/>
  <c r="G84" i="9"/>
  <c r="G82" i="9"/>
  <c r="P74" i="9"/>
  <c r="G74" i="9"/>
  <c r="P75" i="9"/>
  <c r="P76" i="9"/>
  <c r="G75" i="9"/>
  <c r="G76" i="9"/>
  <c r="P67" i="9"/>
  <c r="P68" i="9"/>
  <c r="P66" i="9"/>
  <c r="G67" i="9"/>
  <c r="G68" i="9"/>
  <c r="G66" i="9"/>
  <c r="P59" i="9"/>
  <c r="P60" i="9"/>
  <c r="P58" i="9"/>
  <c r="G59" i="9"/>
  <c r="G60" i="9"/>
  <c r="G58" i="9"/>
  <c r="P51" i="9"/>
  <c r="P52" i="9"/>
  <c r="P50" i="9"/>
  <c r="G51" i="9"/>
  <c r="G52" i="9"/>
  <c r="G50" i="9"/>
  <c r="R43" i="9"/>
  <c r="P43" i="9"/>
  <c r="P44" i="9"/>
  <c r="P42" i="9"/>
  <c r="G43" i="9"/>
  <c r="G44" i="9"/>
  <c r="G42" i="9"/>
  <c r="P36" i="9"/>
  <c r="P35" i="9"/>
  <c r="P34" i="9"/>
  <c r="G36" i="9"/>
  <c r="G35" i="9"/>
  <c r="G34" i="9"/>
  <c r="P27" i="9"/>
  <c r="P28" i="9"/>
  <c r="P26" i="9"/>
  <c r="G28" i="9"/>
  <c r="G29" i="9"/>
  <c r="G27" i="9"/>
  <c r="P19" i="9"/>
  <c r="P20" i="9"/>
  <c r="P18" i="9"/>
  <c r="I18" i="9"/>
  <c r="G19" i="9"/>
  <c r="G20" i="9"/>
  <c r="G18" i="9"/>
  <c r="AX5" i="9" l="1"/>
  <c r="AZ5" i="9"/>
  <c r="AJ5" i="9"/>
  <c r="AH4" i="9"/>
  <c r="AH5" i="9" s="1"/>
  <c r="AG4" i="9"/>
  <c r="AG5" i="9" s="1"/>
  <c r="AF5" i="9"/>
  <c r="AB5" i="9"/>
  <c r="AE5" i="9"/>
  <c r="AM5" i="9"/>
  <c r="AK5" i="9"/>
  <c r="AC4" i="9"/>
  <c r="AC5" i="9" s="1"/>
  <c r="AD4" i="9"/>
  <c r="AD5" i="9" s="1"/>
  <c r="AL4" i="9"/>
  <c r="AL5" i="9" s="1"/>
  <c r="I59" i="8" a="1"/>
  <c r="I59" i="8" s="1"/>
  <c r="L91" i="9"/>
  <c r="M92" i="9"/>
  <c r="L92" i="9"/>
  <c r="M91" i="9"/>
  <c r="M90" i="9"/>
  <c r="L90" i="9"/>
  <c r="M84" i="9"/>
  <c r="L84" i="9"/>
  <c r="M83" i="9"/>
  <c r="L83" i="9"/>
  <c r="M82" i="9"/>
  <c r="L82" i="9"/>
  <c r="W3" i="9"/>
  <c r="V3" i="9"/>
  <c r="U3" i="9"/>
  <c r="T3" i="9"/>
  <c r="S3" i="9"/>
  <c r="R3" i="9"/>
  <c r="Q3" i="9"/>
  <c r="P3" i="9"/>
  <c r="O3" i="9"/>
  <c r="N3" i="9"/>
  <c r="L3" i="9"/>
  <c r="M3" i="9"/>
  <c r="K4" i="9"/>
  <c r="K5" i="9" s="1"/>
  <c r="B4" i="9"/>
  <c r="B5" i="9" s="1"/>
  <c r="CF5" i="8" a="1"/>
  <c r="CF5" i="8" s="1"/>
  <c r="CF6" i="8" a="1"/>
  <c r="CF6" i="8" s="1"/>
  <c r="CF7" i="8" a="1"/>
  <c r="CF7" i="8" s="1"/>
  <c r="CF8" i="8" a="1"/>
  <c r="CF8" i="8" s="1"/>
  <c r="CF9" i="8" a="1"/>
  <c r="CF9" i="8" s="1"/>
  <c r="CF10" i="8" a="1"/>
  <c r="CF10" i="8" s="1"/>
  <c r="CF11" i="8" a="1"/>
  <c r="CF11" i="8" s="1"/>
  <c r="CF12" i="8" a="1"/>
  <c r="CF12" i="8" s="1"/>
  <c r="CF13" i="8" a="1"/>
  <c r="CF13" i="8" s="1"/>
  <c r="CF14" i="8" a="1"/>
  <c r="CF14" i="8" s="1"/>
  <c r="CF15" i="8" a="1"/>
  <c r="CF15" i="8" s="1"/>
  <c r="CF16" i="8" a="1"/>
  <c r="CF16" i="8" s="1"/>
  <c r="CF17" i="8" a="1"/>
  <c r="CF17" i="8" s="1"/>
  <c r="CF18" i="8" a="1"/>
  <c r="CF18" i="8" s="1"/>
  <c r="CF19" i="8" a="1"/>
  <c r="CF19" i="8" s="1"/>
  <c r="CF20" i="8" a="1"/>
  <c r="CF20" i="8" s="1"/>
  <c r="CF21" i="8" a="1"/>
  <c r="CF21" i="8" s="1"/>
  <c r="CF22" i="8" a="1"/>
  <c r="CF22" i="8" s="1"/>
  <c r="CF23" i="8" a="1"/>
  <c r="CF23" i="8" s="1"/>
  <c r="CF24" i="8" a="1"/>
  <c r="CF24" i="8" s="1"/>
  <c r="CF25" i="8" a="1"/>
  <c r="CF25" i="8" s="1"/>
  <c r="CF26" i="8" a="1"/>
  <c r="CF26" i="8" s="1"/>
  <c r="CF27" i="8" a="1"/>
  <c r="CF27" i="8" s="1"/>
  <c r="CF28" i="8" a="1"/>
  <c r="CF28" i="8" s="1"/>
  <c r="CF29" i="8" a="1"/>
  <c r="CF29" i="8" s="1"/>
  <c r="CF30" i="8" a="1"/>
  <c r="CF30" i="8" s="1"/>
  <c r="CF31" i="8" a="1"/>
  <c r="CF31" i="8" s="1"/>
  <c r="CF32" i="8" a="1"/>
  <c r="CF32" i="8" s="1"/>
  <c r="CF33" i="8" a="1"/>
  <c r="CF33" i="8" s="1"/>
  <c r="CF34" i="8" a="1"/>
  <c r="CF34" i="8" s="1"/>
  <c r="CF35" i="8" a="1"/>
  <c r="CF35" i="8" s="1"/>
  <c r="CF36" i="8" a="1"/>
  <c r="CF36" i="8" s="1"/>
  <c r="CF37" i="8" a="1"/>
  <c r="CF37" i="8" s="1"/>
  <c r="CF38" i="8" a="1"/>
  <c r="CF38" i="8" s="1"/>
  <c r="CF39" i="8" a="1"/>
  <c r="CF39" i="8" s="1"/>
  <c r="CF40" i="8" a="1"/>
  <c r="CF40" i="8" s="1"/>
  <c r="CF41" i="8" a="1"/>
  <c r="CF41" i="8" s="1"/>
  <c r="CF42" i="8" a="1"/>
  <c r="CF42" i="8" s="1"/>
  <c r="CF43" i="8" a="1"/>
  <c r="CF43" i="8" s="1"/>
  <c r="CF44" i="8" a="1"/>
  <c r="CF44" i="8" s="1"/>
  <c r="CF45" i="8" a="1"/>
  <c r="CF45" i="8" s="1"/>
  <c r="CF46" i="8" a="1"/>
  <c r="CF46" i="8" s="1"/>
  <c r="CF47" i="8" a="1"/>
  <c r="CF47" i="8" s="1"/>
  <c r="CF48" i="8" a="1"/>
  <c r="CF48" i="8" s="1"/>
  <c r="CF49" i="8" a="1"/>
  <c r="CF49" i="8" s="1"/>
  <c r="CF50" i="8" a="1"/>
  <c r="CF50" i="8" s="1"/>
  <c r="CF51" i="8" a="1"/>
  <c r="CF51" i="8" s="1"/>
  <c r="CF52" i="8" a="1"/>
  <c r="CF52" i="8" s="1"/>
  <c r="CF53" i="8" a="1"/>
  <c r="CF53" i="8" s="1"/>
  <c r="CF54" i="8" a="1"/>
  <c r="CF54" i="8" s="1"/>
  <c r="CF55" i="8" a="1"/>
  <c r="CF55" i="8" s="1"/>
  <c r="CF4" i="8" a="1"/>
  <c r="CF4" i="8" s="1"/>
  <c r="CF3" i="8" a="1"/>
  <c r="CF3" i="8" s="1"/>
  <c r="CE4" i="8"/>
  <c r="C356" i="9"/>
  <c r="B356" i="9"/>
  <c r="C355" i="9"/>
  <c r="B355" i="9"/>
  <c r="C354" i="9"/>
  <c r="B354" i="9"/>
  <c r="C348" i="9"/>
  <c r="B348" i="9"/>
  <c r="C347" i="9"/>
  <c r="B347" i="9"/>
  <c r="C346" i="9"/>
  <c r="B346" i="9"/>
  <c r="C340" i="9"/>
  <c r="B340" i="9"/>
  <c r="C339" i="9"/>
  <c r="B339" i="9"/>
  <c r="C338" i="9"/>
  <c r="B338" i="9"/>
  <c r="I328" i="9"/>
  <c r="H328" i="9"/>
  <c r="D329" i="9"/>
  <c r="C329" i="9"/>
  <c r="B329" i="9"/>
  <c r="D331" i="9"/>
  <c r="C331" i="9"/>
  <c r="B331" i="9"/>
  <c r="D330" i="9"/>
  <c r="C330" i="9"/>
  <c r="B330" i="9"/>
  <c r="C323" i="9"/>
  <c r="B323" i="9"/>
  <c r="C322" i="9"/>
  <c r="B322" i="9"/>
  <c r="C321" i="9"/>
  <c r="B321" i="9"/>
  <c r="C315" i="9"/>
  <c r="B315" i="9"/>
  <c r="C314" i="9"/>
  <c r="B314" i="9"/>
  <c r="C313" i="9"/>
  <c r="B313" i="9"/>
  <c r="C307" i="9"/>
  <c r="B307" i="9"/>
  <c r="C306" i="9"/>
  <c r="B306" i="9"/>
  <c r="C305" i="9"/>
  <c r="B305" i="9"/>
  <c r="C297" i="9"/>
  <c r="B297" i="9"/>
  <c r="C298" i="9"/>
  <c r="B298" i="9"/>
  <c r="B299" i="9"/>
  <c r="C299" i="9"/>
  <c r="D285" i="9"/>
  <c r="C285" i="9"/>
  <c r="B285" i="9"/>
  <c r="D284" i="9"/>
  <c r="C284" i="9"/>
  <c r="B284" i="9"/>
  <c r="D283" i="9"/>
  <c r="C283" i="9"/>
  <c r="B283" i="9"/>
  <c r="D277" i="9"/>
  <c r="C277" i="9"/>
  <c r="B277" i="9"/>
  <c r="D276" i="9"/>
  <c r="C276" i="9"/>
  <c r="B276" i="9"/>
  <c r="D275" i="9"/>
  <c r="C275" i="9"/>
  <c r="B275" i="9"/>
  <c r="C269" i="9"/>
  <c r="B269" i="9"/>
  <c r="C268" i="9"/>
  <c r="B268" i="9"/>
  <c r="C267" i="9"/>
  <c r="B267" i="9"/>
  <c r="C260" i="9"/>
  <c r="B260" i="9"/>
  <c r="B261" i="9"/>
  <c r="C261" i="9"/>
  <c r="C259" i="9"/>
  <c r="B259" i="9"/>
  <c r="B253" i="9"/>
  <c r="C253" i="9"/>
  <c r="C252" i="9"/>
  <c r="B252" i="9"/>
  <c r="C251" i="9"/>
  <c r="B251" i="9"/>
  <c r="B245" i="9"/>
  <c r="C245" i="9"/>
  <c r="C244" i="9"/>
  <c r="B244" i="9"/>
  <c r="C243" i="9"/>
  <c r="B243" i="9"/>
  <c r="C237" i="9"/>
  <c r="B237" i="9"/>
  <c r="C236" i="9"/>
  <c r="B236" i="9"/>
  <c r="B235" i="9"/>
  <c r="C235" i="9"/>
  <c r="B229" i="9"/>
  <c r="C229" i="9"/>
  <c r="D229" i="9"/>
  <c r="G217" i="9"/>
  <c r="H217" i="9"/>
  <c r="I217" i="9"/>
  <c r="J217" i="9"/>
  <c r="K217" i="9"/>
  <c r="L217" i="9"/>
  <c r="M217" i="9"/>
  <c r="N217" i="9"/>
  <c r="O217" i="9"/>
  <c r="P217" i="9"/>
  <c r="Q217" i="9"/>
  <c r="R217" i="9"/>
  <c r="F217" i="9"/>
  <c r="G216" i="9"/>
  <c r="H216" i="9"/>
  <c r="I216" i="9"/>
  <c r="J216" i="9"/>
  <c r="K216" i="9"/>
  <c r="L216" i="9"/>
  <c r="M216" i="9"/>
  <c r="N216" i="9"/>
  <c r="O216" i="9"/>
  <c r="P216" i="9"/>
  <c r="Q216" i="9"/>
  <c r="R216" i="9"/>
  <c r="F216" i="9"/>
  <c r="B216" i="9"/>
  <c r="A216" i="9"/>
  <c r="B209" i="9"/>
  <c r="C209" i="9"/>
  <c r="D209" i="9"/>
  <c r="D208" i="9"/>
  <c r="C208" i="9"/>
  <c r="B208" i="9"/>
  <c r="D207" i="9"/>
  <c r="C207" i="9"/>
  <c r="B207" i="9"/>
  <c r="B201" i="9"/>
  <c r="C201" i="9"/>
  <c r="D201" i="9"/>
  <c r="D200" i="9"/>
  <c r="C200" i="9"/>
  <c r="B200" i="9"/>
  <c r="D199" i="9"/>
  <c r="C199" i="9"/>
  <c r="B199" i="9"/>
  <c r="B187" i="9"/>
  <c r="C187" i="9"/>
  <c r="D187" i="9"/>
  <c r="D186" i="9"/>
  <c r="C186" i="9"/>
  <c r="B186" i="9"/>
  <c r="D185" i="9"/>
  <c r="C185" i="9"/>
  <c r="B185" i="9"/>
  <c r="B179" i="9"/>
  <c r="C179" i="9"/>
  <c r="D179" i="9"/>
  <c r="E179" i="9"/>
  <c r="F179" i="9"/>
  <c r="F178" i="9"/>
  <c r="E178" i="9"/>
  <c r="D178" i="9"/>
  <c r="C178" i="9"/>
  <c r="B178" i="9"/>
  <c r="F177" i="9"/>
  <c r="E177" i="9"/>
  <c r="D177" i="9"/>
  <c r="C177" i="9"/>
  <c r="B177" i="9"/>
  <c r="B169" i="9"/>
  <c r="B171" i="9"/>
  <c r="C171" i="9"/>
  <c r="C170" i="9"/>
  <c r="B170" i="9"/>
  <c r="C169" i="9"/>
  <c r="B157" i="9"/>
  <c r="C157" i="9"/>
  <c r="D157" i="9"/>
  <c r="D156" i="9"/>
  <c r="C156" i="9"/>
  <c r="B156" i="9"/>
  <c r="D155" i="9"/>
  <c r="C155" i="9"/>
  <c r="B155" i="9"/>
  <c r="I112" i="9"/>
  <c r="J112" i="9"/>
  <c r="J114" i="9" s="1"/>
  <c r="K112" i="9"/>
  <c r="H112" i="9"/>
  <c r="G112" i="9"/>
  <c r="F112" i="9"/>
  <c r="L99" i="9"/>
  <c r="M99" i="9"/>
  <c r="CD4" i="8"/>
  <c r="CD5" i="8"/>
  <c r="CD6" i="8"/>
  <c r="CD7" i="8"/>
  <c r="CD8" i="8"/>
  <c r="CD9" i="8"/>
  <c r="CD10" i="8"/>
  <c r="CD11" i="8"/>
  <c r="CD12" i="8"/>
  <c r="CD13" i="8"/>
  <c r="CD14" i="8"/>
  <c r="CD15" i="8"/>
  <c r="CD16" i="8"/>
  <c r="CD17" i="8"/>
  <c r="CD18" i="8"/>
  <c r="CD19" i="8"/>
  <c r="CD20" i="8"/>
  <c r="CD21" i="8"/>
  <c r="CD22" i="8"/>
  <c r="CD23" i="8"/>
  <c r="CD24" i="8"/>
  <c r="CD25" i="8"/>
  <c r="CD26" i="8"/>
  <c r="CD27" i="8"/>
  <c r="CD28" i="8"/>
  <c r="CD29" i="8"/>
  <c r="CD30" i="8"/>
  <c r="CD31" i="8"/>
  <c r="CD32" i="8"/>
  <c r="CD33" i="8"/>
  <c r="CD34" i="8"/>
  <c r="CD35" i="8"/>
  <c r="CD36" i="8"/>
  <c r="CD37" i="8"/>
  <c r="CD38" i="8"/>
  <c r="CD39" i="8"/>
  <c r="CD40" i="8"/>
  <c r="CD41" i="8"/>
  <c r="CD42" i="8"/>
  <c r="CD43" i="8"/>
  <c r="CD44" i="8"/>
  <c r="CD45" i="8"/>
  <c r="CD46" i="8"/>
  <c r="CD47" i="8"/>
  <c r="CD48" i="8"/>
  <c r="CD49" i="8"/>
  <c r="CD50" i="8"/>
  <c r="CD51" i="8"/>
  <c r="CD52" i="8"/>
  <c r="CD53" i="8"/>
  <c r="CD54" i="8"/>
  <c r="CD55" i="8"/>
  <c r="CD3" i="8"/>
  <c r="CC4" i="8"/>
  <c r="CC5" i="8"/>
  <c r="CC6" i="8"/>
  <c r="CC7" i="8"/>
  <c r="CC8" i="8"/>
  <c r="CC9" i="8"/>
  <c r="CC10" i="8"/>
  <c r="CC11" i="8"/>
  <c r="CC12" i="8"/>
  <c r="CC13" i="8"/>
  <c r="CC14" i="8"/>
  <c r="CC15" i="8"/>
  <c r="CC16" i="8"/>
  <c r="CC17" i="8"/>
  <c r="CC18" i="8"/>
  <c r="CC19" i="8"/>
  <c r="CC20" i="8"/>
  <c r="CC21" i="8"/>
  <c r="CC22" i="8"/>
  <c r="CC23" i="8"/>
  <c r="CC24" i="8"/>
  <c r="CC25" i="8"/>
  <c r="CC26" i="8"/>
  <c r="CC27" i="8"/>
  <c r="CC28" i="8"/>
  <c r="CC29" i="8"/>
  <c r="CC30" i="8"/>
  <c r="CC31" i="8"/>
  <c r="CC32" i="8"/>
  <c r="CC33" i="8"/>
  <c r="CC34" i="8"/>
  <c r="CC35" i="8"/>
  <c r="CC36" i="8"/>
  <c r="CC37" i="8"/>
  <c r="CC38" i="8"/>
  <c r="CC39" i="8"/>
  <c r="CC40" i="8"/>
  <c r="CC41" i="8"/>
  <c r="CC42" i="8"/>
  <c r="CC43" i="8"/>
  <c r="CC44" i="8"/>
  <c r="CC45" i="8"/>
  <c r="CC46" i="8"/>
  <c r="CC47" i="8"/>
  <c r="CC48" i="8"/>
  <c r="CC49" i="8"/>
  <c r="CC50" i="8"/>
  <c r="CC51" i="8"/>
  <c r="CC52" i="8"/>
  <c r="CC53" i="8"/>
  <c r="CC54" i="8"/>
  <c r="CC55" i="8"/>
  <c r="CC3" i="8"/>
  <c r="D147" i="9"/>
  <c r="C147" i="9"/>
  <c r="C149" i="9"/>
  <c r="B148" i="9"/>
  <c r="B147" i="9"/>
  <c r="F63" i="8"/>
  <c r="B149" i="9"/>
  <c r="D149" i="9"/>
  <c r="D148" i="9"/>
  <c r="C148" i="9"/>
  <c r="B135" i="9"/>
  <c r="C135" i="9"/>
  <c r="D135" i="9"/>
  <c r="D134" i="9"/>
  <c r="C134" i="9"/>
  <c r="B134" i="9"/>
  <c r="D133" i="9"/>
  <c r="C133" i="9"/>
  <c r="B133" i="9"/>
  <c r="B127" i="9"/>
  <c r="C127" i="9"/>
  <c r="D127" i="9"/>
  <c r="D126" i="9"/>
  <c r="C126" i="9"/>
  <c r="B126" i="9"/>
  <c r="D125" i="9"/>
  <c r="C125" i="9"/>
  <c r="B125" i="9"/>
  <c r="K99" i="9"/>
  <c r="J99" i="9"/>
  <c r="I99" i="9"/>
  <c r="H99" i="9"/>
  <c r="G99" i="9"/>
  <c r="F99" i="9"/>
  <c r="CB3" i="8"/>
  <c r="CB4" i="8"/>
  <c r="CB5" i="8"/>
  <c r="CB6" i="8"/>
  <c r="CB7" i="8"/>
  <c r="CB8" i="8"/>
  <c r="CB9" i="8"/>
  <c r="CB10" i="8"/>
  <c r="CB11" i="8"/>
  <c r="CB12" i="8"/>
  <c r="CB13" i="8"/>
  <c r="CB14" i="8"/>
  <c r="CB15" i="8"/>
  <c r="CB16" i="8"/>
  <c r="CB17" i="8"/>
  <c r="CB18" i="8"/>
  <c r="CB19" i="8"/>
  <c r="CB20" i="8"/>
  <c r="CB21" i="8"/>
  <c r="CB22" i="8"/>
  <c r="CB23" i="8"/>
  <c r="CB24" i="8"/>
  <c r="CB25" i="8"/>
  <c r="CB26" i="8"/>
  <c r="CB27" i="8"/>
  <c r="CB28" i="8"/>
  <c r="CB29" i="8"/>
  <c r="CB30" i="8"/>
  <c r="CB31" i="8"/>
  <c r="CB32" i="8"/>
  <c r="CB33" i="8"/>
  <c r="CB34" i="8"/>
  <c r="CB35" i="8"/>
  <c r="CB36" i="8"/>
  <c r="CB37" i="8"/>
  <c r="CB38" i="8"/>
  <c r="CB39" i="8"/>
  <c r="CB40" i="8"/>
  <c r="CB41" i="8"/>
  <c r="CB42" i="8"/>
  <c r="CB43" i="8"/>
  <c r="CB44" i="8"/>
  <c r="CB45" i="8"/>
  <c r="CB46" i="8"/>
  <c r="CB47" i="8"/>
  <c r="CB48" i="8"/>
  <c r="CB49" i="8"/>
  <c r="CB50" i="8"/>
  <c r="CB51" i="8"/>
  <c r="CB52" i="8"/>
  <c r="CB53" i="8"/>
  <c r="CB54" i="8"/>
  <c r="CB55" i="8"/>
  <c r="B92" i="9"/>
  <c r="C92" i="9"/>
  <c r="C91" i="9"/>
  <c r="B91" i="9"/>
  <c r="B90" i="9"/>
  <c r="C90" i="9"/>
  <c r="B82" i="9"/>
  <c r="B84" i="9"/>
  <c r="C84" i="9"/>
  <c r="C83" i="9"/>
  <c r="B83" i="9"/>
  <c r="C82" i="9"/>
  <c r="B74" i="9"/>
  <c r="C74" i="9"/>
  <c r="L76" i="9"/>
  <c r="M76" i="9"/>
  <c r="M75" i="9"/>
  <c r="L75" i="9"/>
  <c r="M74" i="9"/>
  <c r="L74" i="9"/>
  <c r="C75" i="9"/>
  <c r="B76" i="9"/>
  <c r="C76" i="9"/>
  <c r="B75" i="9"/>
  <c r="L68" i="9"/>
  <c r="M68" i="9"/>
  <c r="M67" i="9"/>
  <c r="L67" i="9"/>
  <c r="M66" i="9"/>
  <c r="L66" i="9"/>
  <c r="B68" i="9"/>
  <c r="C68" i="9"/>
  <c r="C67" i="9"/>
  <c r="B67" i="9"/>
  <c r="C66" i="9"/>
  <c r="B66" i="9"/>
  <c r="M60" i="9"/>
  <c r="L60" i="9"/>
  <c r="C60" i="9"/>
  <c r="B60" i="9"/>
  <c r="M59" i="9"/>
  <c r="L59" i="9"/>
  <c r="C59" i="9"/>
  <c r="B59" i="9"/>
  <c r="M58" i="9"/>
  <c r="L58" i="9"/>
  <c r="C58" i="9"/>
  <c r="B58" i="9"/>
  <c r="M50" i="9"/>
  <c r="L50" i="9"/>
  <c r="C50" i="9"/>
  <c r="B50" i="9"/>
  <c r="M42" i="9"/>
  <c r="L42" i="9"/>
  <c r="C42" i="9"/>
  <c r="B42" i="9"/>
  <c r="M34" i="9"/>
  <c r="L34" i="9"/>
  <c r="L26" i="9"/>
  <c r="C34" i="9"/>
  <c r="B34" i="9"/>
  <c r="L28" i="9"/>
  <c r="L27" i="9"/>
  <c r="M26" i="9"/>
  <c r="C26" i="9"/>
  <c r="B26" i="9"/>
  <c r="L18" i="9"/>
  <c r="M20" i="9"/>
  <c r="L20" i="9"/>
  <c r="M19" i="9"/>
  <c r="L19" i="9"/>
  <c r="C20" i="9"/>
  <c r="B19" i="9"/>
  <c r="B20" i="9"/>
  <c r="C19" i="9"/>
  <c r="B18" i="9"/>
  <c r="M18" i="9"/>
  <c r="C18" i="9"/>
  <c r="M51" i="9"/>
  <c r="M52" i="9"/>
  <c r="L51" i="9"/>
  <c r="L52" i="9"/>
  <c r="B51" i="9"/>
  <c r="C51" i="9"/>
  <c r="B52" i="9"/>
  <c r="C52" i="9"/>
  <c r="L43" i="9"/>
  <c r="M43" i="9"/>
  <c r="L44" i="9"/>
  <c r="M44" i="9"/>
  <c r="B43" i="9"/>
  <c r="C43" i="9"/>
  <c r="B44" i="9"/>
  <c r="C44" i="9"/>
  <c r="L35" i="9"/>
  <c r="M35" i="9"/>
  <c r="L36" i="9"/>
  <c r="M36" i="9"/>
  <c r="C35" i="9"/>
  <c r="C36" i="9"/>
  <c r="B35" i="9"/>
  <c r="B36" i="9"/>
  <c r="M27" i="9"/>
  <c r="M28" i="9"/>
  <c r="C27" i="9"/>
  <c r="C28" i="9"/>
  <c r="B27" i="9"/>
  <c r="B28" i="9"/>
  <c r="V16" i="9"/>
  <c r="P4" i="9" l="1"/>
  <c r="P5" i="9" s="1"/>
  <c r="Q4" i="9"/>
  <c r="Q5" i="9"/>
  <c r="R4" i="9"/>
  <c r="R5" i="9"/>
  <c r="S4" i="9"/>
  <c r="S5" i="9" s="1"/>
  <c r="M4" i="9"/>
  <c r="M5" i="9"/>
  <c r="T4" i="9"/>
  <c r="T5" i="9"/>
  <c r="L4" i="9"/>
  <c r="L5" i="9" s="1"/>
  <c r="U4" i="9"/>
  <c r="U5" i="9" s="1"/>
  <c r="N4" i="9"/>
  <c r="N5" i="9"/>
  <c r="V4" i="9"/>
  <c r="V5" i="9"/>
  <c r="V6" i="9" s="1"/>
  <c r="O4" i="9"/>
  <c r="O5" i="9" s="1"/>
  <c r="W4" i="9"/>
  <c r="W5" i="9"/>
  <c r="N90" i="9"/>
  <c r="M93" i="9"/>
  <c r="N92" i="9"/>
  <c r="N91" i="9"/>
  <c r="L93" i="9"/>
  <c r="N84" i="9"/>
  <c r="M85" i="9"/>
  <c r="N83" i="9"/>
  <c r="N82" i="9"/>
  <c r="L85" i="9"/>
  <c r="G3" i="9"/>
  <c r="G4" i="9" s="1"/>
  <c r="H4" i="9" s="1"/>
  <c r="C238" i="9"/>
  <c r="CE5" i="8"/>
  <c r="B238" i="9"/>
  <c r="C357" i="9"/>
  <c r="D356" i="9"/>
  <c r="D354" i="9"/>
  <c r="D355" i="9"/>
  <c r="B357" i="9"/>
  <c r="C349" i="9"/>
  <c r="B349" i="9"/>
  <c r="D346" i="9"/>
  <c r="D348" i="9"/>
  <c r="D347" i="9"/>
  <c r="D340" i="9"/>
  <c r="C341" i="9"/>
  <c r="B341" i="9"/>
  <c r="D339" i="9"/>
  <c r="D338" i="9"/>
  <c r="E331" i="9"/>
  <c r="D332" i="9"/>
  <c r="C332" i="9"/>
  <c r="B332" i="9"/>
  <c r="E330" i="9"/>
  <c r="E329" i="9"/>
  <c r="C324" i="9"/>
  <c r="B324" i="9"/>
  <c r="D323" i="9"/>
  <c r="D321" i="9"/>
  <c r="D322" i="9"/>
  <c r="C316" i="9"/>
  <c r="B316" i="9"/>
  <c r="D313" i="9"/>
  <c r="D315" i="9"/>
  <c r="D314" i="9"/>
  <c r="C308" i="9"/>
  <c r="B308" i="9"/>
  <c r="D305" i="9"/>
  <c r="D307" i="9"/>
  <c r="D306" i="9"/>
  <c r="D298" i="9"/>
  <c r="B300" i="9"/>
  <c r="C300" i="9"/>
  <c r="D297" i="9"/>
  <c r="D299" i="9"/>
  <c r="D286" i="9"/>
  <c r="C286" i="9"/>
  <c r="B286" i="9"/>
  <c r="E285" i="9"/>
  <c r="E283" i="9"/>
  <c r="E284" i="9"/>
  <c r="D278" i="9"/>
  <c r="C278" i="9"/>
  <c r="B278" i="9"/>
  <c r="E277" i="9"/>
  <c r="E276" i="9"/>
  <c r="E275" i="9"/>
  <c r="C270" i="9"/>
  <c r="D269" i="9"/>
  <c r="D268" i="9"/>
  <c r="B270" i="9"/>
  <c r="D267" i="9"/>
  <c r="C262" i="9"/>
  <c r="B262" i="9"/>
  <c r="D259" i="9"/>
  <c r="D261" i="9"/>
  <c r="D260" i="9"/>
  <c r="C254" i="9"/>
  <c r="B254" i="9"/>
  <c r="D251" i="9"/>
  <c r="D253" i="9"/>
  <c r="D252" i="9"/>
  <c r="C246" i="9"/>
  <c r="B246" i="9"/>
  <c r="D243" i="9"/>
  <c r="D245" i="9"/>
  <c r="D244" i="9"/>
  <c r="D236" i="9"/>
  <c r="D237" i="9"/>
  <c r="D235" i="9"/>
  <c r="E229" i="9"/>
  <c r="C216" i="9"/>
  <c r="R218" i="9" s="1"/>
  <c r="D210" i="9"/>
  <c r="C210" i="9"/>
  <c r="E208" i="9"/>
  <c r="B210" i="9"/>
  <c r="E209" i="9"/>
  <c r="E207" i="9"/>
  <c r="D202" i="9"/>
  <c r="B202" i="9"/>
  <c r="E201" i="9"/>
  <c r="C202" i="9"/>
  <c r="E199" i="9"/>
  <c r="E200" i="9"/>
  <c r="G177" i="9"/>
  <c r="D188" i="9"/>
  <c r="C188" i="9"/>
  <c r="B188" i="9"/>
  <c r="E185" i="9"/>
  <c r="E187" i="9"/>
  <c r="E186" i="9"/>
  <c r="G179" i="9"/>
  <c r="F180" i="9"/>
  <c r="G178" i="9"/>
  <c r="B180" i="9"/>
  <c r="E180" i="9"/>
  <c r="D180" i="9"/>
  <c r="C180" i="9"/>
  <c r="C172" i="9"/>
  <c r="D169" i="9"/>
  <c r="B172" i="9"/>
  <c r="A112" i="9"/>
  <c r="B99" i="9"/>
  <c r="B112" i="9"/>
  <c r="A99" i="9"/>
  <c r="D158" i="9"/>
  <c r="B158" i="9"/>
  <c r="E157" i="9"/>
  <c r="C158" i="9"/>
  <c r="E156" i="9"/>
  <c r="E155" i="9"/>
  <c r="L53" i="9"/>
  <c r="B128" i="9"/>
  <c r="D150" i="9"/>
  <c r="C150" i="9"/>
  <c r="B150" i="9"/>
  <c r="E149" i="9"/>
  <c r="E147" i="9"/>
  <c r="E148" i="9"/>
  <c r="D128" i="9"/>
  <c r="C128" i="9"/>
  <c r="D136" i="9"/>
  <c r="B136" i="9"/>
  <c r="C136" i="9"/>
  <c r="E135" i="9"/>
  <c r="E133" i="9"/>
  <c r="E134" i="9"/>
  <c r="E127" i="9"/>
  <c r="E125" i="9"/>
  <c r="E126" i="9"/>
  <c r="C93" i="9"/>
  <c r="B93" i="9"/>
  <c r="D90" i="9"/>
  <c r="D92" i="9"/>
  <c r="D91" i="9"/>
  <c r="D83" i="9"/>
  <c r="C85" i="9"/>
  <c r="B85" i="9"/>
  <c r="D84" i="9"/>
  <c r="D82" i="9"/>
  <c r="D75" i="9"/>
  <c r="D74" i="9"/>
  <c r="M77" i="9"/>
  <c r="N75" i="9"/>
  <c r="L77" i="9"/>
  <c r="C77" i="9"/>
  <c r="B77" i="9"/>
  <c r="N76" i="9"/>
  <c r="N74" i="9"/>
  <c r="D76" i="9"/>
  <c r="N67" i="9"/>
  <c r="M69" i="9"/>
  <c r="C69" i="9"/>
  <c r="B69" i="9"/>
  <c r="L69" i="9"/>
  <c r="D66" i="9"/>
  <c r="D67" i="9"/>
  <c r="N68" i="9"/>
  <c r="D68" i="9"/>
  <c r="N66" i="9"/>
  <c r="D51" i="9"/>
  <c r="L37" i="9"/>
  <c r="D36" i="9"/>
  <c r="N44" i="9"/>
  <c r="D18" i="9"/>
  <c r="N50" i="9"/>
  <c r="D19" i="9"/>
  <c r="D52" i="9"/>
  <c r="D44" i="9"/>
  <c r="N43" i="9"/>
  <c r="C53" i="9"/>
  <c r="D43" i="9"/>
  <c r="D50" i="9"/>
  <c r="C45" i="9"/>
  <c r="M61" i="9"/>
  <c r="N59" i="9"/>
  <c r="N58" i="9"/>
  <c r="L61" i="9"/>
  <c r="C61" i="9"/>
  <c r="D60" i="9"/>
  <c r="B61" i="9"/>
  <c r="D58" i="9"/>
  <c r="D59" i="9"/>
  <c r="N60" i="9"/>
  <c r="N52" i="9"/>
  <c r="N51" i="9"/>
  <c r="M53" i="9"/>
  <c r="B53" i="9"/>
  <c r="D42" i="9"/>
  <c r="L45" i="9"/>
  <c r="M45" i="9"/>
  <c r="N42" i="9"/>
  <c r="B45" i="9"/>
  <c r="C37" i="9"/>
  <c r="D35" i="9"/>
  <c r="B37" i="9"/>
  <c r="D34" i="9"/>
  <c r="N36" i="9"/>
  <c r="N35" i="9"/>
  <c r="M37" i="9"/>
  <c r="N34" i="9"/>
  <c r="M29" i="9"/>
  <c r="N28" i="9"/>
  <c r="N27" i="9"/>
  <c r="N26" i="9"/>
  <c r="L29" i="9"/>
  <c r="D20" i="9"/>
  <c r="C21" i="9"/>
  <c r="B21" i="9"/>
  <c r="B29" i="9"/>
  <c r="N20" i="9"/>
  <c r="D28" i="9"/>
  <c r="D27" i="9"/>
  <c r="N18" i="9"/>
  <c r="M21" i="9"/>
  <c r="C29" i="9"/>
  <c r="D26" i="9"/>
  <c r="N19" i="9"/>
  <c r="L21" i="9"/>
  <c r="AJ6" i="9" l="1"/>
  <c r="AL6" i="9"/>
  <c r="AK6" i="9"/>
  <c r="AG6" i="9"/>
  <c r="AB6" i="9"/>
  <c r="AM6" i="9"/>
  <c r="AF6" i="9"/>
  <c r="AI6" i="9"/>
  <c r="AC6" i="9"/>
  <c r="AD6" i="9"/>
  <c r="AE6" i="9"/>
  <c r="AA6" i="9"/>
  <c r="AH6" i="9"/>
  <c r="N93" i="9"/>
  <c r="R91" i="9" s="1"/>
  <c r="S91" i="9" s="1"/>
  <c r="N85" i="9"/>
  <c r="R83" i="9" s="1"/>
  <c r="S83" i="9" s="1"/>
  <c r="T6" i="9"/>
  <c r="P6" i="9"/>
  <c r="S6" i="9"/>
  <c r="N6" i="9"/>
  <c r="R6" i="9"/>
  <c r="Q6" i="9"/>
  <c r="U6" i="9"/>
  <c r="M6" i="9"/>
  <c r="L6" i="9"/>
  <c r="K6" i="9"/>
  <c r="O6" i="9"/>
  <c r="W6" i="9"/>
  <c r="H3" i="9"/>
  <c r="D349" i="9"/>
  <c r="CE6" i="8"/>
  <c r="D341" i="9"/>
  <c r="I339" i="9" s="1"/>
  <c r="J339" i="9" s="1"/>
  <c r="D357" i="9"/>
  <c r="E332" i="9"/>
  <c r="B333" i="9" s="1"/>
  <c r="B217" i="9"/>
  <c r="D316" i="9"/>
  <c r="D308" i="9"/>
  <c r="I306" i="9" s="1"/>
  <c r="J306" i="9" s="1"/>
  <c r="D262" i="9"/>
  <c r="D324" i="9"/>
  <c r="I322" i="9" s="1"/>
  <c r="D300" i="9"/>
  <c r="E286" i="9"/>
  <c r="L283" i="9" s="1"/>
  <c r="E278" i="9"/>
  <c r="L275" i="9" s="1"/>
  <c r="D270" i="9"/>
  <c r="D254" i="9"/>
  <c r="I252" i="9" s="1"/>
  <c r="D246" i="9"/>
  <c r="I244" i="9" s="1"/>
  <c r="D238" i="9"/>
  <c r="A217" i="9"/>
  <c r="K218" i="9"/>
  <c r="J218" i="9"/>
  <c r="G218" i="9"/>
  <c r="M218" i="9"/>
  <c r="O218" i="9"/>
  <c r="H218" i="9"/>
  <c r="F218" i="9"/>
  <c r="I218" i="9"/>
  <c r="N218" i="9"/>
  <c r="Q218" i="9"/>
  <c r="P218" i="9"/>
  <c r="L218" i="9"/>
  <c r="E210" i="9"/>
  <c r="E202" i="9"/>
  <c r="L199" i="9" s="1"/>
  <c r="M199" i="9" s="1"/>
  <c r="E188" i="9"/>
  <c r="L185" i="9" s="1"/>
  <c r="M185" i="9" s="1"/>
  <c r="G180" i="9"/>
  <c r="R178" i="9" s="1"/>
  <c r="C112" i="9"/>
  <c r="I113" i="9" s="1"/>
  <c r="D172" i="9"/>
  <c r="C99" i="9"/>
  <c r="A100" i="9" s="1"/>
  <c r="E158" i="9"/>
  <c r="I164" i="9" s="1"/>
  <c r="J164" i="9" s="1"/>
  <c r="E150" i="9"/>
  <c r="L147" i="9" s="1"/>
  <c r="E128" i="9"/>
  <c r="L125" i="9" s="1"/>
  <c r="E136" i="9"/>
  <c r="D93" i="9"/>
  <c r="D85" i="9"/>
  <c r="D77" i="9"/>
  <c r="N77" i="9"/>
  <c r="N69" i="9"/>
  <c r="D69" i="9"/>
  <c r="I67" i="9" s="1"/>
  <c r="D29" i="9"/>
  <c r="N53" i="9"/>
  <c r="R51" i="9" s="1"/>
  <c r="S51" i="9" s="1"/>
  <c r="N29" i="9"/>
  <c r="D61" i="9"/>
  <c r="D45" i="9"/>
  <c r="I43" i="9" s="1"/>
  <c r="J43" i="9" s="1"/>
  <c r="N21" i="9"/>
  <c r="D21" i="9"/>
  <c r="D53" i="9"/>
  <c r="N61" i="9"/>
  <c r="N45" i="9"/>
  <c r="D37" i="9"/>
  <c r="N37" i="9"/>
  <c r="C3" i="9"/>
  <c r="C4" i="9"/>
  <c r="AK10" i="9" l="1"/>
  <c r="AC10" i="9"/>
  <c r="AH9" i="9"/>
  <c r="AI10" i="9"/>
  <c r="AA10" i="9"/>
  <c r="AF9" i="9"/>
  <c r="AH10" i="9"/>
  <c r="AM9" i="9"/>
  <c r="AE9" i="9"/>
  <c r="AB10" i="9"/>
  <c r="AG10" i="9"/>
  <c r="AL9" i="9"/>
  <c r="AD9" i="9"/>
  <c r="AF10" i="9"/>
  <c r="AK9" i="9"/>
  <c r="AC9" i="9"/>
  <c r="AJ10" i="9"/>
  <c r="AM10" i="9"/>
  <c r="AE10" i="9"/>
  <c r="AJ9" i="9"/>
  <c r="AB9" i="9"/>
  <c r="AL10" i="9"/>
  <c r="AD10" i="9"/>
  <c r="AI9" i="9"/>
  <c r="AA9" i="9"/>
  <c r="AG9" i="9"/>
  <c r="R10" i="9"/>
  <c r="P90" i="9"/>
  <c r="P92" i="9"/>
  <c r="P91" i="9"/>
  <c r="L9" i="9"/>
  <c r="T9" i="9"/>
  <c r="M9" i="9"/>
  <c r="U9" i="9"/>
  <c r="N9" i="9"/>
  <c r="V9" i="9"/>
  <c r="O9" i="9"/>
  <c r="W9" i="9"/>
  <c r="P9" i="9"/>
  <c r="K9" i="9"/>
  <c r="Q9" i="9"/>
  <c r="R9" i="9"/>
  <c r="S9" i="9"/>
  <c r="L10" i="9"/>
  <c r="T10" i="9"/>
  <c r="M10" i="9"/>
  <c r="U10" i="9"/>
  <c r="N10" i="9"/>
  <c r="V10" i="9"/>
  <c r="O10" i="9"/>
  <c r="W10" i="9"/>
  <c r="P10" i="9"/>
  <c r="K10" i="9"/>
  <c r="Q10" i="9"/>
  <c r="S10" i="9"/>
  <c r="I347" i="9"/>
  <c r="J347" i="9" s="1"/>
  <c r="CE7" i="8"/>
  <c r="D333" i="9"/>
  <c r="C333" i="9"/>
  <c r="J322" i="9"/>
  <c r="I298" i="9"/>
  <c r="J298" i="9" s="1"/>
  <c r="I268" i="9"/>
  <c r="J268" i="9" s="1"/>
  <c r="I314" i="9"/>
  <c r="J314" i="9" s="1"/>
  <c r="I260" i="9"/>
  <c r="J260" i="9" s="1"/>
  <c r="M283" i="9"/>
  <c r="A292" i="9"/>
  <c r="B292" i="9" s="1"/>
  <c r="M275" i="9"/>
  <c r="J252" i="9"/>
  <c r="J244" i="9"/>
  <c r="I236" i="9"/>
  <c r="J236" i="9" s="1"/>
  <c r="J208" i="9"/>
  <c r="J209" i="9"/>
  <c r="I207" i="9"/>
  <c r="J207" i="9"/>
  <c r="I208" i="9"/>
  <c r="I209" i="9"/>
  <c r="R177" i="9"/>
  <c r="L207" i="9"/>
  <c r="M207" i="9" s="1"/>
  <c r="A113" i="9"/>
  <c r="I114" i="9"/>
  <c r="R179" i="9"/>
  <c r="G113" i="9"/>
  <c r="L155" i="9"/>
  <c r="M155" i="9" s="1"/>
  <c r="A194" i="9"/>
  <c r="B194" i="9" s="1"/>
  <c r="H113" i="9"/>
  <c r="R180" i="9"/>
  <c r="R176" i="9"/>
  <c r="B113" i="9"/>
  <c r="F113" i="9"/>
  <c r="J113" i="9"/>
  <c r="K114" i="9"/>
  <c r="K113" i="9"/>
  <c r="H114" i="9"/>
  <c r="G114" i="9"/>
  <c r="F114" i="9"/>
  <c r="I170" i="9"/>
  <c r="J170" i="9" s="1"/>
  <c r="E164" i="9"/>
  <c r="F164" i="9" s="1"/>
  <c r="A164" i="9"/>
  <c r="B164" i="9" s="1"/>
  <c r="K101" i="9"/>
  <c r="L100" i="9"/>
  <c r="M100" i="9"/>
  <c r="L101" i="9"/>
  <c r="J100" i="9"/>
  <c r="I100" i="9"/>
  <c r="M147" i="9"/>
  <c r="E142" i="9"/>
  <c r="F142" i="9" s="1"/>
  <c r="A142" i="9"/>
  <c r="B142" i="9" s="1"/>
  <c r="I127" i="9"/>
  <c r="M125" i="9"/>
  <c r="M133" i="9"/>
  <c r="B100" i="9"/>
  <c r="I101" i="9"/>
  <c r="F100" i="9"/>
  <c r="G100" i="9"/>
  <c r="G101" i="9"/>
  <c r="J101" i="9"/>
  <c r="H101" i="9"/>
  <c r="K100" i="9"/>
  <c r="H100" i="9"/>
  <c r="I91" i="9"/>
  <c r="J91" i="9" s="1"/>
  <c r="I83" i="9"/>
  <c r="J83" i="9" s="1"/>
  <c r="R75" i="9"/>
  <c r="S75" i="9" s="1"/>
  <c r="I75" i="9"/>
  <c r="J75" i="9" s="1"/>
  <c r="R67" i="9"/>
  <c r="S67" i="9" s="1"/>
  <c r="J67" i="9"/>
  <c r="R59" i="9"/>
  <c r="S59" i="9" s="1"/>
  <c r="I59" i="9"/>
  <c r="J59" i="9" s="1"/>
  <c r="I51" i="9"/>
  <c r="J51" i="9" s="1"/>
  <c r="S43" i="9"/>
  <c r="R27" i="9"/>
  <c r="S27" i="9" s="1"/>
  <c r="R35" i="9"/>
  <c r="S35" i="9" s="1"/>
  <c r="I35" i="9"/>
  <c r="J35" i="9" s="1"/>
  <c r="J27" i="9"/>
  <c r="R18" i="9"/>
  <c r="S18" i="9" s="1"/>
  <c r="J18" i="9"/>
  <c r="CE8" i="8" l="1"/>
  <c r="K115" i="9"/>
  <c r="I115" i="9"/>
  <c r="H115" i="9"/>
  <c r="J115" i="9"/>
  <c r="F115" i="9"/>
  <c r="G115" i="9"/>
  <c r="I102" i="9"/>
  <c r="F102" i="9"/>
  <c r="H102" i="9"/>
  <c r="L102" i="9"/>
  <c r="J102" i="9"/>
  <c r="G102" i="9"/>
  <c r="M102" i="9"/>
  <c r="K102" i="9"/>
  <c r="J149" i="9"/>
  <c r="J148" i="9"/>
  <c r="J125" i="9"/>
  <c r="J133" i="9"/>
  <c r="J127" i="9"/>
  <c r="J135" i="9"/>
  <c r="J126" i="9"/>
  <c r="J119" i="9" l="1"/>
  <c r="CE9" i="8"/>
  <c r="I118" i="9"/>
  <c r="J118" i="9"/>
  <c r="K119" i="9"/>
  <c r="G118" i="9"/>
  <c r="F119" i="9"/>
  <c r="G119" i="9"/>
  <c r="H118" i="9"/>
  <c r="I119" i="9"/>
  <c r="H119" i="9"/>
  <c r="F118" i="9"/>
  <c r="K118" i="9"/>
  <c r="F105" i="9"/>
  <c r="M106" i="9"/>
  <c r="M105" i="9"/>
  <c r="G106" i="9"/>
  <c r="G105" i="9"/>
  <c r="H106" i="9"/>
  <c r="H105" i="9"/>
  <c r="I106" i="9"/>
  <c r="I105" i="9"/>
  <c r="J106" i="9"/>
  <c r="J105" i="9"/>
  <c r="K106" i="9"/>
  <c r="K105" i="9"/>
  <c r="L106" i="9"/>
  <c r="L105" i="9"/>
  <c r="CE10" i="8" l="1"/>
  <c r="CE11" i="8" l="1"/>
  <c r="CE12" i="8" l="1"/>
  <c r="CE13" i="8" l="1"/>
  <c r="CE14" i="8" l="1"/>
  <c r="C230" i="9"/>
  <c r="B230" i="9"/>
  <c r="D230" i="9"/>
  <c r="CE15" i="8" l="1"/>
  <c r="E230" i="9"/>
  <c r="CE16" i="8" l="1"/>
  <c r="CE17" i="8" l="1"/>
  <c r="CE18" i="8" l="1"/>
  <c r="CE19" i="8" l="1"/>
  <c r="CE20" i="8" l="1"/>
  <c r="CE21" i="8" l="1"/>
  <c r="CE22" i="8" l="1"/>
  <c r="CE23" i="8" l="1"/>
  <c r="CE24" i="8" l="1"/>
  <c r="CE25" i="8" l="1"/>
  <c r="CE26" i="8" l="1"/>
  <c r="CE27" i="8" l="1"/>
  <c r="CE28" i="8" l="1"/>
  <c r="CE29" i="8" l="1"/>
  <c r="CE30" i="8" l="1"/>
  <c r="CE31" i="8" l="1"/>
  <c r="CE32" i="8" l="1"/>
  <c r="CE33" i="8" l="1"/>
  <c r="CE34" i="8" l="1"/>
  <c r="CE35" i="8" l="1"/>
  <c r="CE36" i="8" l="1"/>
  <c r="CE37" i="8" l="1"/>
  <c r="CE38" i="8" l="1"/>
  <c r="CE39" i="8" l="1"/>
  <c r="CE40" i="8" l="1"/>
  <c r="CE41" i="8" l="1"/>
  <c r="CE42" i="8" l="1"/>
  <c r="CE43" i="8" l="1"/>
  <c r="CE44" i="8" l="1"/>
  <c r="CE45" i="8" l="1"/>
  <c r="CE46" i="8" l="1"/>
  <c r="CE47" i="8" l="1"/>
  <c r="CE48" i="8" l="1"/>
  <c r="CE49" i="8" l="1"/>
  <c r="CE50" i="8" l="1"/>
  <c r="CE51" i="8" l="1"/>
  <c r="CE52" i="8" l="1"/>
  <c r="CE53" i="8" l="1"/>
  <c r="CE54" i="8" l="1"/>
  <c r="CE55" i="8" l="1"/>
  <c r="F219" i="9"/>
  <c r="I223" i="9" s="1"/>
  <c r="P219" i="9"/>
  <c r="N219" i="9"/>
  <c r="I219" i="9"/>
  <c r="M219" i="9"/>
  <c r="G219" i="9"/>
  <c r="H219" i="9"/>
  <c r="K219" i="9"/>
  <c r="Q219" i="9"/>
  <c r="J219" i="9"/>
  <c r="L219" i="9"/>
  <c r="O219" i="9"/>
  <c r="R219" i="9"/>
  <c r="F223" i="9" l="1"/>
  <c r="M222" i="9"/>
  <c r="Q223" i="9"/>
  <c r="R222" i="9"/>
  <c r="P222" i="9"/>
  <c r="H223" i="9"/>
  <c r="N223" i="9"/>
  <c r="G222" i="9"/>
  <c r="L223" i="9"/>
  <c r="F222" i="9"/>
  <c r="N222" i="9"/>
  <c r="H222" i="9"/>
  <c r="J222" i="9"/>
  <c r="Q222" i="9"/>
  <c r="P223" i="9"/>
  <c r="O223" i="9"/>
  <c r="G223" i="9"/>
  <c r="M223" i="9"/>
  <c r="R223" i="9"/>
  <c r="K223" i="9"/>
  <c r="L222" i="9"/>
  <c r="I222" i="9"/>
  <c r="J223" i="9"/>
  <c r="K222" i="9"/>
  <c r="O222" i="9"/>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<sst xmlns="http://schemas.openxmlformats.org/spreadsheetml/2006/main" count="1607" uniqueCount="746">
  <si>
    <t>Årstall</t>
  </si>
  <si>
    <t>Doffinkode</t>
  </si>
  <si>
    <t>Dato for kunngjøring</t>
  </si>
  <si>
    <t>Publisert av</t>
  </si>
  <si>
    <t>Organisasjonsnummer</t>
  </si>
  <si>
    <t>Tittel</t>
  </si>
  <si>
    <t>Fylke</t>
  </si>
  <si>
    <t>Oppdragsgiver</t>
  </si>
  <si>
    <t>Hoved CPV</t>
  </si>
  <si>
    <t>Dynamisk innkjøpsordning</t>
  </si>
  <si>
    <t>Varekategori</t>
  </si>
  <si>
    <t>Type konkurranse</t>
  </si>
  <si>
    <t>Delkontrakt</t>
  </si>
  <si>
    <t>Estimert verdi</t>
  </si>
  <si>
    <t>Kontormøbler</t>
  </si>
  <si>
    <t>Link til konkurransegrunnlag</t>
  </si>
  <si>
    <t xml:space="preserve">Epost kontaktperson </t>
  </si>
  <si>
    <t>Vekting av miljø (%)</t>
  </si>
  <si>
    <t>Vekting av pris (%)</t>
  </si>
  <si>
    <t>Vekting av kvalitet og service (%)</t>
  </si>
  <si>
    <t>Miljø som tildelings kriterium</t>
  </si>
  <si>
    <t>Miljømerke som tildelings kriterium</t>
  </si>
  <si>
    <t>EPD som tildelings kriterium</t>
  </si>
  <si>
    <t>Miljø som kontraktsvilkår</t>
  </si>
  <si>
    <t>Miljø som kvalifikasjons krav</t>
  </si>
  <si>
    <t>Miljø som krav spesifikasjon</t>
  </si>
  <si>
    <t xml:space="preserve">Miljø/sikrulært fokus i tittel? </t>
  </si>
  <si>
    <t xml:space="preserve">Miljø/sirkulært nevnt/fokus i formål/behov/ beskrivelse av konkurransen? </t>
  </si>
  <si>
    <t>Minimere energibruk</t>
  </si>
  <si>
    <t>Klimafotavtrykk/ klimagassutslipp</t>
  </si>
  <si>
    <t>Minimere/ redusere miljøbelastning/ miljøpåvirkning</t>
  </si>
  <si>
    <t>Miljøledelsessystem (ISO14001, Miljøfyrtårn etc.)</t>
  </si>
  <si>
    <t>Miljømerking som krav, tildelingskriterium, eller kontraktsvilkår - Type 1 (Svanemerket, EU Eco-label, Svensk Møbelfakta, osv.)</t>
  </si>
  <si>
    <t>EPD/Miljødeklarasjon - som krav, tildelingskriterium, kontraktsvilkår eller dokumentasjon</t>
  </si>
  <si>
    <t xml:space="preserve">Bærekraftig trevirke/skogbruk - tømmerforordningen, FSC eller PEFC </t>
  </si>
  <si>
    <t>Krav til kvalitet / EN standarder/henvisning til Norsk møbelfakta</t>
  </si>
  <si>
    <t>Robuste møbeltekstiler/ kvalitet på møbeltrekk</t>
  </si>
  <si>
    <t>Leverandøren skal kunne levere brukte møbler</t>
  </si>
  <si>
    <t>Brukte møbler er untatt fra avtalen</t>
  </si>
  <si>
    <t>Design for lang levetid (Demontering, Reservedeler, produktinformasjon om montering og vedlikehold)</t>
  </si>
  <si>
    <t>Merking av plast</t>
  </si>
  <si>
    <t>Leie/ leasing av møbler</t>
  </si>
  <si>
    <t>Leverandøren skal ta tilbake brukte møbler</t>
  </si>
  <si>
    <t xml:space="preserve">Avhending, videresalg, materialgjenvinnes/resirkuleres, (at de ber om en tjeneste om at leverandøren skal ta inn oppdragsgivers brukte møbler og videreselge, eller materialgjenvinne/resirkulere). Dette stille kanskje oftest som kontraktvilkår. </t>
  </si>
  <si>
    <t>Serviceavtale/ reparasjonsavtale</t>
  </si>
  <si>
    <t>TCO/ LCC (Livssyklus kostnader)</t>
  </si>
  <si>
    <t>Garantitid (år)</t>
  </si>
  <si>
    <t>Vask og rengjøring av møbler</t>
  </si>
  <si>
    <t xml:space="preserve">Bruk av resirkulert materiale/resirkulert andel </t>
  </si>
  <si>
    <t>Skal kunne materialgjenvinnes/ resirkuleres, eller at de ber om en tjeneste om at leverandøren</t>
  </si>
  <si>
    <t>Minimere emballasje</t>
  </si>
  <si>
    <t>Emballasjen skal være resirkulerbar/ gjenbrukbar (kravet om miljøvennelig emballasje)</t>
  </si>
  <si>
    <t>Emballasje (retur- grønt punkt, gjenvinning) (kravet om gjenvinnbar emballasje)</t>
  </si>
  <si>
    <t>Kjemikalietabellen (unngå skadelige kjemikaler)</t>
  </si>
  <si>
    <t xml:space="preserve">Kjemikalieinnhold og -håndtering </t>
  </si>
  <si>
    <t>REACH (prioritetslisten, kandidatlisten)</t>
  </si>
  <si>
    <t>Produkt-forskriften</t>
  </si>
  <si>
    <t>CLP-forordningen kjemikalier klassifisert etter faresetninger i CLP</t>
  </si>
  <si>
    <t>VOC</t>
  </si>
  <si>
    <t>Formaldehyd</t>
  </si>
  <si>
    <t>Flammehemmere</t>
  </si>
  <si>
    <t>PVC</t>
  </si>
  <si>
    <t>Tungmetaller</t>
  </si>
  <si>
    <t>Kvikksølv</t>
  </si>
  <si>
    <t>Krom (både 3/III og 6/IV)</t>
  </si>
  <si>
    <t>Bly</t>
  </si>
  <si>
    <t>Kadmium</t>
  </si>
  <si>
    <t>Tinn</t>
  </si>
  <si>
    <t>Sosiale hensyn og menneske-rettigheter er inkludert</t>
  </si>
  <si>
    <t>Menneske-rettigheter som tildelingskriterium</t>
  </si>
  <si>
    <t>Menneske-rettigheter som kontraktsvilkår</t>
  </si>
  <si>
    <t>Menneske-rettigheter som kvalifikasjonskrav</t>
  </si>
  <si>
    <t>Menneske-rettigheter som kravspesifikasjon</t>
  </si>
  <si>
    <t>Dokumentnavn</t>
  </si>
  <si>
    <t>Kommentarer</t>
  </si>
  <si>
    <t>Varer</t>
  </si>
  <si>
    <t>2021-367695</t>
  </si>
  <si>
    <t>Anno Museum AS</t>
  </si>
  <si>
    <t>ANNO-21-01 Møbler</t>
  </si>
  <si>
    <t>Innlandet</t>
  </si>
  <si>
    <t>Statlig virksomhet</t>
  </si>
  <si>
    <t>Ikke spesifisert</t>
  </si>
  <si>
    <t>Åpen anbudskonkurranse</t>
  </si>
  <si>
    <t>https://www.mercell.com/nb-no/anbud/156444182/anno-21-01-moebler--anbud.aspx</t>
  </si>
  <si>
    <t xml:space="preserve">svend.hoff.johnstad@abakus.as </t>
  </si>
  <si>
    <t>https://dirfo.sharepoint.com/:b:/r/sites/Grnneanskaffelser/Shared%20Documents/M%C3%B8bler/Statistikk%20og%20m%C3%A5ling/M%C3%A5ling%202022%20-%20Hedda/Konkurransegrunnlag/Konkurransegrunnlag%202021/Anno%20Museum%20AS%20-%2021.05.2021/ANNO-21-01%20Konkurransegrunnlag.pdf?csf=1&amp;web=1&amp;e=sZLsCn</t>
  </si>
  <si>
    <t>Konkurranse med forhandling</t>
  </si>
  <si>
    <t>2021-387603</t>
  </si>
  <si>
    <t>Barne-, ungdoms- og familiedirektoratet</t>
  </si>
  <si>
    <t>Rammeavtale for kjøp av kontormøbler</t>
  </si>
  <si>
    <t>Landsdekkende</t>
  </si>
  <si>
    <t>https://eu.eu-supply.com/app/rfq/publicpurchase_docs.asp?PID=314541&amp;LID=369480&amp;AllowPrint=1</t>
  </si>
  <si>
    <t>marievine.elserud@bufdir.no</t>
  </si>
  <si>
    <t>-</t>
  </si>
  <si>
    <t>https://dirfo.sharepoint.com/:w:/r/sites/Grnneanskaffelser/Shared%20Documents/M%C3%B8bler/Statistikk%20og%20m%C3%A5ling/M%C3%A5ling%202022%20-%20Hedda/Konkurransegrunnlag/Konkurransegrunnlag%202021/Barne-,%20ungdoms-%20og%20familiedirektoratet%20-%2020.11.2021/vedlegg%206%20-%20kontraktsvilkar_for_ivaretakelse_av_grunnleggende_menneskerettigheter_i_leverandorkjeden_med_logo_2.docx?d=w8a9328e6deb44623b0c8950df1d94643&amp;csf=1&amp;web=1&amp;e=HUsPbn</t>
  </si>
  <si>
    <t>2021-386887</t>
  </si>
  <si>
    <t>Bergen kommune</t>
  </si>
  <si>
    <t>FOR 049-2021 Arkivreoler til Bergen byarkiv (Ny utlysning)</t>
  </si>
  <si>
    <t>Vestland</t>
  </si>
  <si>
    <t xml:space="preserve">Kommune </t>
  </si>
  <si>
    <t>https://www.mercell.com/nb-no/anbud/162842408/for-049-2021-arkivreoler-til-bergen-byarkiv-ny-utlysning-anbud.aspx</t>
  </si>
  <si>
    <t>adnan.birdzo@bergen.kommune.no</t>
  </si>
  <si>
    <t>2021-353195</t>
  </si>
  <si>
    <t>Bergen kommune - BKML stab</t>
  </si>
  <si>
    <t>FOR 015-2021 Arkivreoler til Byarkivet - KANSELLERT</t>
  </si>
  <si>
    <t>Kansellert</t>
  </si>
  <si>
    <t>https://www.mercell.com/nb-no/anbud/154300504/for-015-2021-arkivreoler-til-byarkivet-anbud.aspx</t>
  </si>
  <si>
    <t>2021-327812</t>
  </si>
  <si>
    <t>Bergen kommune - Bymiljøetaten</t>
  </si>
  <si>
    <t>EØS 004-2021 Rammeavtale nye møbler til Bergen kommune og samarbeidsparter - Delkontrakt 1 Kontormøbler</t>
  </si>
  <si>
    <t>https://www.mercell.com/nb-no/anbud/149738996/eoes-004-2021-kontormoebler-anbud.aspx</t>
  </si>
  <si>
    <t>laila.hope@bergen.kommune.no</t>
  </si>
  <si>
    <t>https://dirfo.sharepoint.com/:b:/r/sites/Grnneanskaffelser/Shared%20Documents/M%C3%B8bler/Statistikk%20og%20m%C3%A5ling/M%C3%A5ling%202022%20-%20Hedda/Konkurransegrunnlag/Konkurransegrunnlag%202021/Bergen%20kommune%20-%20Bymilj%C3%B8etaten%20Delkontrakt%201%20(kontorm%C3%B8bler)%20-%2015.04.2021/Standardkontrakt%20bilag%207%20-%20Ansvarlig%20forretningspraksis.pdf?csf=1&amp;web=1&amp;e=HKoBld</t>
  </si>
  <si>
    <t>2021-370159</t>
  </si>
  <si>
    <t>Bergen kommune - Innkjøp konsern</t>
  </si>
  <si>
    <t>FOR 060-2021 Arkivreoler til Bergen byarkiv (3. utlysning)</t>
  </si>
  <si>
    <t>https://www.mercell.com/nb-no/anbud/164477699/for-060-2021-arkivreoler-til-bergen-byarkiv-3-utlysning-anbud.aspx</t>
  </si>
  <si>
    <t>Nordland</t>
  </si>
  <si>
    <t>Oslo</t>
  </si>
  <si>
    <t>2021-331907</t>
  </si>
  <si>
    <t>Forsvarets forskningsinstitutt</t>
  </si>
  <si>
    <t>Rammeavtale møbler og inventar</t>
  </si>
  <si>
    <t>Viken</t>
  </si>
  <si>
    <t>https://www.mercell.com/nb-no/anbud/148112511/rammeavtale-moebler-og-inventar-anbud.aspx</t>
  </si>
  <si>
    <t>havard.lund@ffi.no</t>
  </si>
  <si>
    <t>https://dirfo.sharepoint.com/:b:/r/sites/Grnneanskaffelser/Shared%20Documents/M%C3%B8bler/Statistikk%20og%20m%C3%A5ling/M%C3%A5ling%202022%20-%20Hedda/Konkurransegrunnlag/Konkurransegrunnlag%202021/Forsvarets%20Forskningsinstitutt%20-%2028.01.2021/Etisk%20egenerkl%C3%A6ring%20for%20leverand%C3%B8rer%20til%20Forsvarsdepartementet.pdf?csf=1&amp;web=1&amp;e=60TRpW</t>
  </si>
  <si>
    <t>2021-388763</t>
  </si>
  <si>
    <t>Grenlandkommunenes Innkjøpsenhet</t>
  </si>
  <si>
    <t>Møbler og inventar - delkontrakt 1 kontormøbler</t>
  </si>
  <si>
    <t>Vestfold og Telemark</t>
  </si>
  <si>
    <t>Fylkeskommune</t>
  </si>
  <si>
    <t>https://dirfo.sharepoint.com/:f:/r/sites/Grnneanskaffelser/Shared%20Documents/M%C3%B8bler/Statistikk%20og%20m%C3%A5ling/M%C3%A5ling%202022%20-%20Hedda/Konkurransegrunnlag/Konkurransegrunnlag%202021/Grenlandkommunenes%20Innkj%C3%B8psenhet%20-%2021.04.2021?csf=1&amp;web=1&amp;e=LQXhmp</t>
  </si>
  <si>
    <t>ninaelisabethsorensen.rybraten@skien.kommune.no</t>
  </si>
  <si>
    <t>https://dirfo.sharepoint.com/:b:/r/sites/Grnneanskaffelser/Shared%20Documents/M%C3%B8bler/Statistikk%20og%20m%C3%A5ling/M%C3%A5ling%202022%20-%20Hedda/Konkurransegrunnlag/Konkurransegrunnlag%202021/Grenlandkommunenes%20Innkj%C3%B8psenhet%20-%2021.04.2021/Konkurransegrunnlag.pdf?csf=1&amp;web=1&amp;e=GZx4KM</t>
  </si>
  <si>
    <t>2021-349787</t>
  </si>
  <si>
    <t>Høgskulen i Volda</t>
  </si>
  <si>
    <t>Rammeavtale på kontormøbler for Høgskulen i Volda</t>
  </si>
  <si>
    <t>Møre og Romsdal</t>
  </si>
  <si>
    <t>Universitet/Høyskole</t>
  </si>
  <si>
    <t>https://dirfo.sharepoint.com/:f:/r/sites/Grnneanskaffelser/Shared%20Documents/M%C3%B8bler/Statistikk%20og%20m%C3%A5ling/M%C3%A5ling%202022%20-%20Hedda/Konkurransegrunnlag/Konkurransegrunnlag%202021/H%C3%B8gskulen%20i%20Volda%20-%2022.04.2021?csf=1&amp;web=1&amp;e=9iqJr7</t>
  </si>
  <si>
    <t>karen.otterstad@hivolda.no</t>
  </si>
  <si>
    <t>https://dirfo.sharepoint.com/:b:/r/sites/Grnneanskaffelser/Shared%20Documents/M%C3%B8bler/Statistikk%20og%20m%C3%A5ling/M%C3%A5ling%202022%20-%20Hedda/Konkurransegrunnlag/Konkurransegrunnlag%202021/H%C3%B8gskulen%20i%20Volda%20-%2022.04.2021/Bilag%205%20-%20Etiske%20krav%20-%20Difi%20mal.pdf?csf=1&amp;web=1&amp;e=pCwB5E</t>
  </si>
  <si>
    <t>2021-322443</t>
  </si>
  <si>
    <t>Inderøy kommune</t>
  </si>
  <si>
    <t>Møbler - rammeavtale Innherred Innkjøp - delkontrakt 1 Kontormøbler</t>
  </si>
  <si>
    <t>Trønderlag</t>
  </si>
  <si>
    <t>https://dirfo.sharepoint.com/:f:/r/sites/Grnneanskaffelser/Shared%20Documents/M%C3%B8bler/Statistikk%20og%20m%C3%A5ling/M%C3%A5ling%202022%20-%20Hedda/Konkurransegrunnlag/Konkurransegrunnlag%202021/Inder%C3%B8y%20kommune%20-%2020.03.2021?csf=1&amp;web=1&amp;e=PR9ac5</t>
  </si>
  <si>
    <t>elin.mathisen.saether@inderoy.kommune.no</t>
  </si>
  <si>
    <t>https://dirfo.sharepoint.com/:b:/r/sites/Grnneanskaffelser/Shared%20Documents/M%C3%B8bler/Statistikk%20og%20m%C3%A5ling/M%C3%A5ling%202022%20-%20Hedda/Konkurransegrunnlag/Konkurransegrunnlag%202021/Inder%C3%B8y%20kommune%20-%2020.03.2021/Konkurransedokumenter.pdf?csf=1&amp;web=1&amp;e=7WQhLK</t>
  </si>
  <si>
    <t>2021-384009</t>
  </si>
  <si>
    <t>Innovasjon Norge</t>
  </si>
  <si>
    <t>Rammeavtale for kjøp av kontormøbler og inventar</t>
  </si>
  <si>
    <t>https://www.mercell.com/nb-no/anbud/167768126/rammeavtale-for-kjoep-av-kontormoebler-og-inventar-anbud.aspx</t>
  </si>
  <si>
    <t>daniel.tran.huynh@innovasjonnorge.no</t>
  </si>
  <si>
    <t>https://dirfo.sharepoint.com/:w:/r/sites/Grnneanskaffelser/Shared%20Documents/M%C3%B8bler/Statistikk%20og%20m%C3%A5ling/M%C3%A5ling%202022%20-%20Hedda/Konkurransegrunnlag/Konkurransegrunnlag%202021/Innovasjon%20Norge%20-%2016.12.2021/Alminnelige%20avtalevilk%C3%A5r.docx?d=we429a9e3e57040f4910887eb4f64af05&amp;csf=1&amp;web=1&amp;e=Suh1eB</t>
  </si>
  <si>
    <t>2021-315749</t>
  </si>
  <si>
    <t>Jernbanedirektoratet</t>
  </si>
  <si>
    <t>Kontormøbler, inventar, interiørdesign og interiør.</t>
  </si>
  <si>
    <t>https://eu.eu-supply.com/app/rfq/publicpurchase_docs.asp?PID=294150&amp;LID=345247&amp;AllowPrint=1</t>
  </si>
  <si>
    <t>arild.bakke@jernbanedirektoratet.no</t>
  </si>
  <si>
    <t>https://dirfo.sharepoint.com/:b:/r/sites/Grnneanskaffelser/Shared%20Documents/M%C3%B8bler/Statistikk%20og%20m%C3%A5ling/M%C3%A5ling%202022%20-%20Hedda/Konkurransegrunnlag/Konkurransegrunnlag%202021/Jernbanedirektoratet%20-%2011.03.2021/Bilag%205%20Etiske%20krav.pdf?csf=1&amp;web=1&amp;e=UD9sjJ</t>
  </si>
  <si>
    <t>2021-377352</t>
  </si>
  <si>
    <t>Kinn kommune</t>
  </si>
  <si>
    <t>Møbler til ny fløy Kulatoppen Omsorgssenter</t>
  </si>
  <si>
    <t>https://eu.eu-supply.com/app/rfq/publicpurchase_docs.asp?PID=304616&amp;LID=357449&amp;AllowPrint=1</t>
  </si>
  <si>
    <t>tore.dammerud@kinn.kommune.no</t>
  </si>
  <si>
    <t>https://dirfo.sharepoint.com/:w:/r/sites/Grnneanskaffelser/Shared%20Documents/M%C3%B8bler/Statistikk%20og%20m%C3%A5ling/M%C3%A5ling%202022%20-%20Hedda/Konkurransegrunnlag/Konkurransegrunnlag%202021/Kinn%20kommune%20-%2015.06.2021/Vedlegg%203%20Utkast%20til%20Avtale.docx?d=w63729cbcba6645d292f21b32ff6789d6&amp;csf=1&amp;web=1&amp;e=UlOcS3</t>
  </si>
  <si>
    <t>2021-339736</t>
  </si>
  <si>
    <t>Kriminalomsorgsdirektoratet</t>
  </si>
  <si>
    <t>Rammeavtale på Kontormøbler til Kriminalomsorgen</t>
  </si>
  <si>
    <t>https://eu.eu-supply.com/app/rfq/publicpurchase_docs.asp?PID=292062&amp;LID=342862&amp;AllowPrint=1</t>
  </si>
  <si>
    <t>trond.hansen@kriminalomsorg.no</t>
  </si>
  <si>
    <t>https://dirfo.sharepoint.com/:w:/r/sites/Grnneanskaffelser/Shared%20Documents/M%C3%B8bler/Statistikk%20og%20m%C3%A5ling/M%C3%A5ling%202022%20-%20Hedda/Konkurransegrunnlag/Konkurransegrunnlag%202021/Kriminalomsorgsdirektoratet%20-%2030.01.2021/Vedlegg%201-%20Rammeavtale%20kontorm%C3%B8bler.doc?d=w81b47d6528c545b292fbe9d7c818bd39&amp;csf=1&amp;web=1&amp;e=lPV0yF</t>
  </si>
  <si>
    <t>2021-339118</t>
  </si>
  <si>
    <t>Kristiansand Kommune</t>
  </si>
  <si>
    <t>Rammeavtale: Kjøp av møbler og inventar til kontor og sosiale soner</t>
  </si>
  <si>
    <t>Agder</t>
  </si>
  <si>
    <t>https://www.mercell.com/nb-no/anbud/167159464/rammeavtale-kjoep-av-moebler-og-inventar-til-kontor-og-sosiale-soner-anbud.aspx</t>
  </si>
  <si>
    <t>frida.johannessen@kristiansand.kommune.no</t>
  </si>
  <si>
    <t>https://dirfo.sharepoint.com/:w:/r/sites/Grnneanskaffelser/Shared%20Documents/M%C3%B8bler/Statistikk%20og%20m%C3%A5ling/M%C3%A5ling%202022%20-%20Hedda/Konkurransegrunnlag/Konkurransegrunnlag%202021/Kristiansand%20Kommune%20(m%C3%B8bler%20og%20inventar%20til%20kontor%20og%20sosiale%20soner)%20-%2014.11.2021/Vedlegg%204%20-%20Avtaledokument.docx?d=wf9d43df2d4c34f5aaeff858cde9d8c3d&amp;csf=1&amp;web=1&amp;e=pDwYsq</t>
  </si>
  <si>
    <t>2021-307637</t>
  </si>
  <si>
    <t>Rammeavtale: Kjøp av møbler og inventar til institusjon</t>
  </si>
  <si>
    <t>https://www.mercell.com/nb-no/anbud/167169876/rammeavtale-kjoep-av-moebler-og-inventar-til-institusjon-anbud.aspx</t>
  </si>
  <si>
    <t>https://dirfo.sharepoint.com/:w:/r/sites/Grnneanskaffelser/Shared%20Documents/M%C3%B8bler/Statistikk%20og%20m%C3%A5ling/M%C3%A5ling%202022%20-%20Hedda/Konkurransegrunnlag/Konkurransegrunnlag%202021/Kristiansand%20Kommune%20(m%C3%B8bler%20og%20inventar%20til%20institusjon)%20-%2014.11.2021/Vedlegg%204%20-%20Avtaledokument.docx?d=w24655035395846fcb323f5286d61ec1a&amp;csf=1&amp;web=1&amp;e=9HpiIE</t>
  </si>
  <si>
    <t>2021-371437</t>
  </si>
  <si>
    <t>Rammeavtale: Kjøp av Møbler og inventar til barnehage</t>
  </si>
  <si>
    <t>https://www.mercell.com/nb-no/anbud/166082578/rammeavtale-kjoep-av-moebler-og-inventar-til-barnehage-anbud.aspx</t>
  </si>
  <si>
    <t>https://dirfo.sharepoint.com/:w:/r/sites/Grnneanskaffelser/Shared%20Documents/M%C3%B8bler/Statistikk%20og%20m%C3%A5ling/M%C3%A5ling%202022%20-%20Hedda/Konkurransegrunnlag/Konkurransegrunnlag%202021/Kristiansand%20Kommune%20(m%C3%B8bler%20og%20inventar%20til%20barnehage)%20-%2014.11.2021/Vedlegg%204%20-%20Avtaledokument.docx?d=wd0feab7f5d9f48a3872e5e065f92dd98&amp;csf=1&amp;web=1&amp;e=jMTktF</t>
  </si>
  <si>
    <t>2021-322688</t>
  </si>
  <si>
    <t>Kristiansund kommune</t>
  </si>
  <si>
    <t>NII - Rammeavtale - Møbler</t>
  </si>
  <si>
    <t>https://www.mercell.com/nb-no/anbud/147600134/nii---rammeavtale---moebler-anbud.aspx</t>
  </si>
  <si>
    <t>elina.bjerkestrand@kristiansund.kommune.no</t>
  </si>
  <si>
    <t>https://dirfo.sharepoint.com/:b:/r/sites/Grnneanskaffelser/Shared%20Documents/M%C3%B8bler/Statistikk%20og%20m%C3%A5ling/M%C3%A5ling%202022%20-%20Hedda/Konkurransegrunnlag/Konkurransegrunnlag%202021/Kristiansund%20kommune%20-%2024.01.2021/KONKURRANSEGRUNNLAG%20M%C3%B8bler.pdf?csf=1&amp;web=1&amp;e=v9LOZu</t>
  </si>
  <si>
    <t>Eget dokument med krav til transport</t>
  </si>
  <si>
    <t>2021-326299</t>
  </si>
  <si>
    <t>Meteorologisk Institutt</t>
  </si>
  <si>
    <t>Rammeavtale for kjøp av møbler og inventar - Del III</t>
  </si>
  <si>
    <t>https://www.mercell.com/nb-no/anbud/165210618/rammeavtale-for-kjoep-av-moebler-og-inventar---del-iii--anbud.aspx</t>
  </si>
  <si>
    <t>post@met.no</t>
  </si>
  <si>
    <t>https://dirfo.sharepoint.com/:w:/r/sites/Grnneanskaffelser/Shared%20Documents/M%C3%B8bler/Statistikk%20og%20m%C3%A5ling/M%C3%A5ling%202022%20-%20Hedda/Konkurransegrunnlag/Konkurransegrunnlag%202021/Meteorologisk%20Institutt%20-%2015.10.2021/Vedlegg%201%20-%20Kravspesifikasjon.docx?d=wa4a51a85b12246b5ace57a6d0af7af36&amp;csf=1&amp;web=1&amp;e=8ByDJp</t>
  </si>
  <si>
    <t>2021-306501</t>
  </si>
  <si>
    <t>Nasjonalbiblioteket</t>
  </si>
  <si>
    <t>Hengemapper</t>
  </si>
  <si>
    <t>https://www.mercell.com/nb-no/anbud/166869062/hengemapper-anbud.aspx</t>
  </si>
  <si>
    <t>snorre.strandrud@nb.no</t>
  </si>
  <si>
    <t>2021-321467</t>
  </si>
  <si>
    <t>NIBIO, Norsk institutt for bioøkonomi</t>
  </si>
  <si>
    <t>21/00031 Rammeavtale for kjøp av nye kontormøbler og tilstøtende møblement</t>
  </si>
  <si>
    <t>https://www.mercell.com/nb-no/anbud/147559377/2100031-rammeavtale-for-kjoep-av-nye-kontormoebler-og-tilstoetende-moeblement-anbud.aspx</t>
  </si>
  <si>
    <t>borge.jensen@nibio.no</t>
  </si>
  <si>
    <t>2021-358997</t>
  </si>
  <si>
    <t>NORCE Norwegian Research Centre AS</t>
  </si>
  <si>
    <t>Rammeavtale på nye møbler og inventar for NORCE Norwegian Research Centre AS</t>
  </si>
  <si>
    <t>Hele landet</t>
  </si>
  <si>
    <t>https://www.mercell.com/nb-no/anbud/146641908/rammeavtale-paa-nye-moebler-og-inventar-for-norce-norwegian-research-centre-as-anbud.aspx</t>
  </si>
  <si>
    <t xml:space="preserve">aniv@norceresearch.no </t>
  </si>
  <si>
    <t>https://dirfo.sharepoint.com/:w:/r/sites/Grnneanskaffelser/Shared%20Documents/M%C3%B8bler/Statistikk%20og%20m%C3%A5ling/M%C3%A5ling%202022%20-%20Hedda/Konkurransegrunnlag/Konkurransegrunnlag%202021/NORCE%20Norwegian%20Research%20Centre%20AS%20-%2007.01.2021/Bilag%203%20-%2010.docx?d=w851df837d59c45a0bc29912a3af0b313&amp;csf=1&amp;web=1&amp;e=li0aNE</t>
  </si>
  <si>
    <t>Må redgjøre for hvordan de jobber mot sirkulær økonomi, samfunnsansvar og miljø</t>
  </si>
  <si>
    <t>2021-347280</t>
  </si>
  <si>
    <t>Nord-Troms kommunene innkjøpstjeneste</t>
  </si>
  <si>
    <t>Møbler og inventar Høgegga barnehage</t>
  </si>
  <si>
    <t>Troms og Finnmark</t>
  </si>
  <si>
    <t>https://eu.eu-supply.com/app/rfq/publicpurchase_docs.asp?PID=292704&amp;LID=343621&amp;AllowPrint=1</t>
  </si>
  <si>
    <t>olaf.nilsen@nordreisa.kommune.no</t>
  </si>
  <si>
    <t>2021-303478</t>
  </si>
  <si>
    <t>Norsk Helsenett SF</t>
  </si>
  <si>
    <t>Møbler til etablering av lokasjon på Tynset - eHelse</t>
  </si>
  <si>
    <t>https://www.mercell.com/nb-no/anbud/156186398/moebler-til-etablering-av-lokasjon-paa-tynset---ehelse-anbud.aspx</t>
  </si>
  <si>
    <t>anskaffelser@nhn.no</t>
  </si>
  <si>
    <t>https://dirfo.sharepoint.com/:w:/r/sites/Grnneanskaffelser/Shared%20Documents/M%C3%B8bler/Statistikk%20og%20m%C3%A5ling/M%C3%A5ling%202022%20-%20Hedda/Konkurransegrunnlag/Konkurransegrunnlag%202021/Norsk%20Helsenett%20SF%20-%2020.05.2021/21-01279%20Alminnelige%20kontraktsvilk%C3%A5r%20for%20varekj%C3%B8p.docx?d=wc20a4524699f4110b4719cbe4cc7c8fd&amp;csf=1&amp;web=1&amp;e=EdBthh</t>
  </si>
  <si>
    <t>2021-394166</t>
  </si>
  <si>
    <t>OsloMet - storbyuniversitetet</t>
  </si>
  <si>
    <t>Møbler</t>
  </si>
  <si>
    <t>https://dirfo.sharepoint.com/:f:/r/sites/Grnneanskaffelser/Shared%20Documents/M%C3%B8bler/Statistikk%20og%20m%C3%A5ling/M%C3%A5ling%202022%20-%20Hedda/Konkurransegrunnlag/Konkurransegrunnlag%202021/OsloMet%20-%20storbyuniversitetet%20-%2012.03.2021?csf=1&amp;web=1&amp;e=EGSEp2</t>
  </si>
  <si>
    <t>anmaritr@oslomet.no</t>
  </si>
  <si>
    <t>https://dirfo.sharepoint.com/:w:/r/sites/Grnneanskaffelser/Shared%20Documents/M%C3%B8bler/Statistikk%20og%20m%C3%A5ling/M%C3%A5ling%202022%20-%20Hedda/Konkurransegrunnlag/Konkurransegrunnlag%202021/OsloMet%20-%20storbyuniversitetet%20-%2012.03.2021/Vedlegg%208%20Kontrakt%20varekj%C3%B8p%2020-04151.docx?d=w30364bdea8024fadaa0ea7a68a7ba689&amp;csf=1&amp;web=1&amp;e=LQIFT2</t>
  </si>
  <si>
    <t>2021-326109</t>
  </si>
  <si>
    <t>Politiets fellestjenester</t>
  </si>
  <si>
    <t>Kontor- og miljømøbler</t>
  </si>
  <si>
    <t>https://dirfo.sharepoint.com/:f:/r/sites/Grnneanskaffelser/Shared%20Documents/M%C3%B8bler/Statistikk%20og%20m%C3%A5ling/M%C3%A5ling%202022%20-%20Hedda/Konkurransegrunnlag/Konkurransegrunnlag%202021/Politiets%20Fellestjenester%20-%2007.02.2021?csf=1&amp;web=1&amp;e=l0EqPM</t>
  </si>
  <si>
    <t>hege.lund@politiet.no</t>
  </si>
  <si>
    <t>https://dirfo.sharepoint.com/:b:/r/sites/Grnneanskaffelser/Shared%20Documents/M%C3%B8bler/Statistikk%20og%20m%C3%A5ling/M%C3%A5ling%202022%20-%20Hedda/Konkurransegrunnlag/Konkurransegrunnlag%202021/Politiets%20Fellestjenester%20-%2007.02.2021/9.%20Alminnelige%20avtalevilk%C3%A5r.pdf?csf=1&amp;web=1&amp;e=jabH56</t>
  </si>
  <si>
    <t>Rana Kommune</t>
  </si>
  <si>
    <t>2021-356521</t>
  </si>
  <si>
    <t>Løst inventar Båsmo barneskole</t>
  </si>
  <si>
    <t>https://www.mercell.com/nb-no/anbud/168515819/loest-inventar-baasmo-barneskole-anbud.aspx</t>
  </si>
  <si>
    <t>jakob.dreyer@rana.kommune.no</t>
  </si>
  <si>
    <t>Rogaland</t>
  </si>
  <si>
    <t>2021-374605</t>
  </si>
  <si>
    <t>Sjøfartsdirektoratet</t>
  </si>
  <si>
    <t>Rammeavtale for kjøp av møbler</t>
  </si>
  <si>
    <t>https://eu.eu-supply.com/app/rfq/publicpurchase_docs.asp?PID=302828&amp;LID=355286&amp;AllowPrint=1</t>
  </si>
  <si>
    <t>toe@sdir.no</t>
  </si>
  <si>
    <t>2021-348349</t>
  </si>
  <si>
    <t>Statens arbeidsmiljøinstitutt</t>
  </si>
  <si>
    <t>Kontorinventar, rammeavtale</t>
  </si>
  <si>
    <t>https://dirfo.sharepoint.com/:f:/r/sites/Grnneanskaffelser/Shared%20Documents/M%C3%B8bler/Statistikk%20og%20m%C3%A5ling/M%C3%A5ling%202022%20-%20Hedda/Konkurransegrunnlag/Konkurransegrunnlag%202021/Statens%20arbeidsmilj%C3%B8institutt%20-%2014.02.2021?csf=1&amp;web=1&amp;e=gtE7Vy</t>
  </si>
  <si>
    <t>tor.kristian@innkjopskontoret.no</t>
  </si>
  <si>
    <t>https://dirfo.sharepoint.com/:b:/r/sites/Grnneanskaffelser/Shared%20Documents/M%C3%B8bler/Statistikk%20og%20m%C3%A5ling/M%C3%A5ling%202022%20-%20Hedda/Konkurransegrunnlag/Konkurransegrunnlag%202021/Statens%20arbeidsmilj%C3%B8institutt%20-%2014.02.2021/Kunngjort%20konkurransegrunnlag.pdf?csf=1&amp;web=1&amp;e=nrIxPS</t>
  </si>
  <si>
    <t>2021-354024</t>
  </si>
  <si>
    <t>Statens vegvesen</t>
  </si>
  <si>
    <t>Rammeavtale kjøp av møbler og inventar til Statens vegvesen</t>
  </si>
  <si>
    <t>https://eu.eu-supply.com/app/rfq/publicpurchase_docs.asp?PID=293159&amp;LID=344144&amp;AllowPrint=1</t>
  </si>
  <si>
    <t>wenche.sundsfjord@vegvesen.no</t>
  </si>
  <si>
    <t>https://dirfo.sharepoint.com/:b:/r/sites/Grnneanskaffelser/Shared%20Documents/M%C3%B8bler/Statistikk%20og%20m%C3%A5ling/M%C3%A5ling%202022%20-%20Hedda/Konkurransegrunnlag/Konkurransegrunnlag%202021/Statens%20vegvesen%20-%2005.03.2021/Kontraktsbetemmelser.pdf?csf=1&amp;web=1&amp;e=LDNf2Q</t>
  </si>
  <si>
    <t>2021-331342</t>
  </si>
  <si>
    <t>Statsforvalteren i Troms og Finnmark</t>
  </si>
  <si>
    <t>Anskaffelse av kontormøbler og løst inventar til Statsforvalteren i Troms og Finnmark (kontorsted Vadsø)</t>
  </si>
  <si>
    <t>https://dirfo.sharepoint.com/:f:/r/sites/Grnneanskaffelser/Shared%20Documents/M%C3%B8bler/Statistikk%20og%20m%C3%A5ling/M%C3%A5ling%202022%20-%20Hedda/Konkurransegrunnlag/Konkurransegrunnlag%202021/Statsforvalteren%20i%20Troms%20og%20Finnmark%20-%2007.07.2021?csf=1&amp;web=1&amp;e=9WTIFd</t>
  </si>
  <si>
    <t>kjersti.fosse@statsforvalteren.no</t>
  </si>
  <si>
    <t>Mye manglende dokumenter (har bare konkurransegrunnlaget)</t>
  </si>
  <si>
    <t>2021-380063</t>
  </si>
  <si>
    <t>Stavanger kommune</t>
  </si>
  <si>
    <t>Løst inventar - Madlamark skole</t>
  </si>
  <si>
    <t>https://www.mercell.com/nb-no/anbud/153815162/loest-inventar---madlamark-skole-anbud.aspx</t>
  </si>
  <si>
    <t>stina.sel@stavanger.kommune.no</t>
  </si>
  <si>
    <t>https://dirfo.sharepoint.com/:b:/r/sites/Grnneanskaffelser/Shared%20Documents/M%C3%B8bler/Statistikk%20og%20m%C3%A5ling/M%C3%A5ling%202022%20-%20Hedda/Konkurransegrunnlag/Konkurransegrunnlag%202021/Stavanger%20kommune%20-%2002.05.2021/Generelle%20avtalevilk%C3%A5r.pdf?csf=1&amp;web=1&amp;e=9E4mXz</t>
  </si>
  <si>
    <t>2021-338768</t>
  </si>
  <si>
    <t xml:space="preserve">Stortinget </t>
  </si>
  <si>
    <t>Rammeavtale for kjøp av kontor-, miljø- og møteromsmøbler - delkontrakt 1</t>
  </si>
  <si>
    <t>https://www.mercell.com/nb-no/anbud/154342053/miljoe--moeteromsmoebler-og-kontorstoler-anbud.aspx</t>
  </si>
  <si>
    <t>innkjop.postmottak@stortinget.no</t>
  </si>
  <si>
    <t>https://dirfo.sharepoint.com/:b:/r/sites/Grnneanskaffelser/Shared%20Documents/M%C3%B8bler/Statistikk%20og%20m%C3%A5ling/M%C3%A5ling%202022%20-%20Hedda/Konkurransegrunnlag/Konkurransegrunnlag%202021/Stortinget%20-%2017.06.2021/Bilag%207%20Kontraktsvilk%C3%A5r%20for%20ivaretakelse%20av%20grunnleggende%20menneskerettigheter%20i%20leverand%C3%B8rkjeden.pdf?csf=1&amp;web=1&amp;e=tnkI8p</t>
  </si>
  <si>
    <t>Rammeavtale for kjøp av kontor-, miljø- og møteromsmøbler - delkontrakt 2</t>
  </si>
  <si>
    <t>2021-339351</t>
  </si>
  <si>
    <t>Surnadal kommune</t>
  </si>
  <si>
    <t>Innkjøp inventar og utstyr Surnadal barne- og ungdomsskule</t>
  </si>
  <si>
    <t>https://www.mercell.com/nb-no/anbud/156123078/innkjoep-inventar-og-utstyr-surnadal-barne--og-ungdomsskule-anbud.aspx</t>
  </si>
  <si>
    <t>amh@surnadal.kommune.no</t>
  </si>
  <si>
    <t>henviser til DFØs forslag/mal for etiske krav</t>
  </si>
  <si>
    <t>2021-328184</t>
  </si>
  <si>
    <t>Sykehusinnkjøp HF</t>
  </si>
  <si>
    <t>Kontormøbler og andre Ikke-medisinske møbler til helseforetakene i Norge - delkontrakt 1 Kontormøbler</t>
  </si>
  <si>
    <t>https://www.mercell.com/nb-no/anbud/153557726/delkontrakt-01-kontormoebler---bord-og-oppbevaringsmoebler-stoeyskjermer-og-lydabsorbenter-anbud.aspx</t>
  </si>
  <si>
    <t>post@sykehusinnkjop.no</t>
  </si>
  <si>
    <t>https://dirfo.sharepoint.com/:w:/r/sites/Grnneanskaffelser/Shared%20Documents/M%C3%B8bler/Statistikk%20og%20m%C3%A5ling/M%C3%A5ling%202022%20-%20Hedda/Konkurransegrunnlag/Konkurransegrunnlag%202021/Sykehusinnkj%C3%B8p%20HF%20-%2013.04.2021/Vedlegg%20Svarskjema%20etisk%20handel.docx?d=w2bdb75275bb1481da059e1c74ed981da&amp;csf=1&amp;web=1&amp;e=0oPox1</t>
  </si>
  <si>
    <t>Kontormøbler og andre Ikke-medisinske møbler til helseforetakene i Norge - delkontrakt 2 Kontorstoler</t>
  </si>
  <si>
    <t>https://www.mercell.com/nb-no/anbud/153557750/delkontrakt-02-kontormoebler---stoler-anbud.aspx</t>
  </si>
  <si>
    <t>Kontormøbler og andre Ikke-medisinske møbler til helseforetakene i Norge - delkontrakt 3 Sosiale og publikumsmøbler i kontormiljø</t>
  </si>
  <si>
    <t>https://www.mercell.com/nb-no/anbud/153558082/delkontrakt-03-sosiale--og-publikumsmoebler-anbud.aspx</t>
  </si>
  <si>
    <t>2021-386122</t>
  </si>
  <si>
    <t>Troms og Finnmark Fylkeskommune</t>
  </si>
  <si>
    <t>Konkurranse kjøp av møbler og inventar til tannbygget - tilbygg</t>
  </si>
  <si>
    <t>https://www.mercell.com/nb-no/anbud/156557195/konkurranse-kjoep-av-moebler-og-inventar-til-tannbygget---tilbygg-anbud.aspx</t>
  </si>
  <si>
    <t>anskaffelse@tffk.no</t>
  </si>
  <si>
    <t>2021-370676</t>
  </si>
  <si>
    <t>Konkurranse på kjøp av inventar til arbeidsrom</t>
  </si>
  <si>
    <t>Begrenset tilbudskonkurranse</t>
  </si>
  <si>
    <t>https://www.mercell.com/nb-no/anbud/166910604/konkurranse-paa-kjoep-av-inventar-til-arbeidsrom-anbud.aspx</t>
  </si>
  <si>
    <t>https://dirfo.sharepoint.com/:b:/r/sites/Grnneanskaffelser/Shared%20Documents/M%C3%B8bler/Statistikk%20og%20m%C3%A5ling/M%C3%A5ling%202022%20-%20Hedda/Konkurransegrunnlag/Konkurransegrunnlag%202021/Troms%20og%20Finnmark%20Fylkeskommune%20-%2018.11.2021/Vedlegg%203%20-%20Alminnelige%20Kontraktsvilk%C3%A5r-varer.pdf?csf=1&amp;web=1&amp;e=9aepki</t>
  </si>
  <si>
    <t>2021-353681</t>
  </si>
  <si>
    <t>Tromsø kommune</t>
  </si>
  <si>
    <t>Rammeavtale på nye møbler (kontormøbler, skolemøbler og institusjonsmøbler) - delkontrakt 1 Kontormøbler</t>
  </si>
  <si>
    <t>https://dirfo.sharepoint.com/:f:/r/sites/Grnneanskaffelser/Shared%20Documents/M%C3%B8bler/Statistikk%20og%20m%C3%A5ling/M%C3%A5ling%202022%20-%20Hedda/Konkurransegrunnlag/Konkurransegrunnlag%202021/Troms%C3%B8%20kommune%20-%2006.05.2021?csf=1&amp;web=1&amp;e=TBglZe</t>
  </si>
  <si>
    <t>mads.bratteng.stagrum@tromso.kommune.no</t>
  </si>
  <si>
    <t>https://dirfo.sharepoint.com/:w:/r/sites/Grnneanskaffelser/Shared%20Documents/M%C3%B8bler/Statistikk%20og%20m%C3%A5ling/M%C3%A5ling%202022%20-%20Hedda/Konkurransegrunnlag/Konkurransegrunnlag%202021/Troms%C3%B8%20kommune%20-%2006.05.2021/Vedlegg%204%20Alminnelige%20kontraktsbestemmelser%20for%20varekj%C3%B8p.docx?d=w27826c50206e4888a4f2c4952107b02d&amp;csf=1&amp;web=1&amp;e=s7CqRC</t>
  </si>
  <si>
    <t>2021-377199</t>
  </si>
  <si>
    <t>Trondheim kommune</t>
  </si>
  <si>
    <t>flet@trondheim.kommune.no</t>
  </si>
  <si>
    <t>Rammeavtale på kjøp, levering og montering av nye møbler - delkontrakt 3 Kontormøbler</t>
  </si>
  <si>
    <t>https://www.mercell.com/nb-no/anbud/151524596/deltilbud-c-kontormoebler-anbud.aspx</t>
  </si>
  <si>
    <t>https://dirfo.sharepoint.com/:b:/r/sites/Grnneanskaffelser/Shared%20Documents/M%C3%B8bler/Statistikk%20og%20m%C3%A5ling/M%C3%A5ling%202022%20-%20Hedda/Konkurransegrunnlag/Konkurransegrunnlag%202021/Trondheim%20Kommune%20(delkontrakt%203%20-%20kontorm%C3%B8bler)%20-%2025.06.2021/Konkurransegrunnlag%20-%20Nye%20m%C3%B8bler%20til%20Trondheim%20kommune.pdf?csf=1&amp;web=1&amp;e=bbrG11</t>
  </si>
  <si>
    <t>Universitetet i Oslo</t>
  </si>
  <si>
    <t>2021-320036</t>
  </si>
  <si>
    <t>Rammeavtale for leveranse av kontormøbler</t>
  </si>
  <si>
    <t>https://dirfo.sharepoint.com/:f:/r/sites/Grnneanskaffelser/Shared%20Documents/M%C3%B8bler/Statistikk%20og%20m%C3%A5ling/M%C3%A5ling%202022%20-%20Hedda/Konkurransegrunnlag/Konkurransegrunnlag%202021/Universitetet%20i%20Oslo%20-%2021.11.2021?csf=1&amp;web=1&amp;e=alJSfz</t>
  </si>
  <si>
    <t>innkjop@eiendom.uio.no</t>
  </si>
  <si>
    <t>https://dirfo.sharepoint.com/:w:/r/sites/Grnneanskaffelser/Shared%20Documents/M%C3%B8bler/Statistikk%20og%20m%C3%A5ling/M%C3%A5ling%202022%20-%20Hedda/Konkurransegrunnlag/Konkurransegrunnlag%202021/Universitetet%20i%20Oslo%20-%2021.11.2021/Bilag%205%20-%20Kontratsvilk%C3%A5r%20for%20etisk%20handel.docx?d=wc4b3b51ce4f54ef79dbf14ec0619381c&amp;csf=1&amp;web=1&amp;e=SnFhIR</t>
  </si>
  <si>
    <t>2021-385094</t>
  </si>
  <si>
    <t>Utdanningsdirektoratet</t>
  </si>
  <si>
    <t>Møbler og inventar til Utdanningsdirektoratets nye lokaler i Molde</t>
  </si>
  <si>
    <t>https://www.mercell.com/nb-no/anbud/153950415/moebler-og-inventar-til-utdanningsdirektoratets-nye-lokaler-i-molde-anbud.aspx</t>
  </si>
  <si>
    <t>mads.aure@utdanningsdirektoratet.no</t>
  </si>
  <si>
    <t>2021-335986</t>
  </si>
  <si>
    <t>Utlendingsnemnda</t>
  </si>
  <si>
    <t>(21/00502) Kontor- og konferansemøbler, rammeavtale</t>
  </si>
  <si>
    <t>https://dirfo.sharepoint.com/:f:/r/sites/Grnneanskaffelser/Shared%20Documents/M%C3%B8bler/Statistikk%20og%20m%C3%A5ling/M%C3%A5ling%202022%20-%20Hedda/Konkurransegrunnlag/Konkurransegrunnlag%202021/Utlendingsnemnda%20-%2018.10.2021?csf=1&amp;web=1&amp;e=UVQYc3</t>
  </si>
  <si>
    <t>karlpetter@innkjopskontoret.no</t>
  </si>
  <si>
    <t>https://dirfo.sharepoint.com/:b:/r/sites/Grnneanskaffelser/Shared%20Documents/M%C3%B8bler/Statistikk%20og%20m%C3%A5ling/M%C3%A5ling%202022%20-%20Hedda/Konkurransegrunnlag/Konkurransegrunnlag%202021/Utlendingsnemnda%20-%2018.10.2021/Kunngjort%20konkurransegrunnlag.pdf?csf=1&amp;web=1&amp;e=qKMtvg</t>
  </si>
  <si>
    <t>Vågan Kommune</t>
  </si>
  <si>
    <t>2021-321609</t>
  </si>
  <si>
    <t>Kontormøbler og annet tilbehør.</t>
  </si>
  <si>
    <t>https://www.mercell.com/nb-no/anbud/168098345/kontormoebler-og-annet-tilbehoer-anbud.aspx</t>
  </si>
  <si>
    <t>magne.haslevang@vagan.kommune.no</t>
  </si>
  <si>
    <t>https://dirfo.sharepoint.com/:w:/r/sites/Grnneanskaffelser/Shared%20Documents/M%C3%B8bler/Statistikk%20og%20m%C3%A5ling/M%C3%A5ling%202022%20-%20Hedda/Konkurransegrunnlag/Konkurransegrunnlag%202021/V%C3%A5gan%20Kommune%20-%2028.11.2021/Standardkontrakt%20for%20vare%20og%20tjenestekj%C3%B8p%20i%20V%C3%A5gan%20kommune.docx?d=w987d5dbed4c04e1ca2b6ef662ca31d36&amp;csf=1&amp;web=1&amp;e=fiQM9e</t>
  </si>
  <si>
    <t>2021-323205</t>
  </si>
  <si>
    <t>Øksnes Kommune</t>
  </si>
  <si>
    <t>Inventar Elvelund 2</t>
  </si>
  <si>
    <t>https://www.mercell.com/nb-no/anbud/151956604/inventar-elvelund-2-anbud.aspx</t>
  </si>
  <si>
    <t>camilla.waagbo@oksnes.kommune.no</t>
  </si>
  <si>
    <t xml:space="preserve">Leverandør bes oppgi slitestyrke og annet på produktbeskrivelsen </t>
  </si>
  <si>
    <t>Ålesund kommune</t>
  </si>
  <si>
    <t>2021-381987</t>
  </si>
  <si>
    <t>Anskaffelse - Kontorstoler, 2021 - delkontrakt 1 - KANSELLERT</t>
  </si>
  <si>
    <t>https://dirfo.sharepoint.com/:f:/r/sites/Grnneanskaffelser/Shared%20Documents/M%C3%B8bler/Statistikk%20og%20m%C3%A5ling/M%C3%A5ling%202022%20-%20Hedda/Konkurransegrunnlag/Konkurransegrunnlag%202021/%C3%85lesund%20kommune%20-%20kontorstoler%202%20utlysninger/KANSELLERT%20%C3%85lesund%20kommune%20-%2024.01.2021?csf=1&amp;web=1&amp;e=rmGQan</t>
  </si>
  <si>
    <t>gina.olsnes@alesund.kommune.no</t>
  </si>
  <si>
    <t>https://dirfo.sharepoint.com/:b:/r/sites/Grnneanskaffelser/Shared%20Documents/M%C3%B8bler/Statistikk%20og%20m%C3%A5ling/M%C3%A5ling%202022%20-%20Hedda/Konkurransegrunnlag/Konkurransegrunnlag%202021/%C3%85lesund%20kommune%20-%20kontorstoler%202%20utlysninger/KANSELLERT%20%C3%85lesund%20kommune%20-%2024.01.2021/Publisert%20konkurransegrunnlag.pdf?csf=1&amp;web=1&amp;e=raZXAu</t>
  </si>
  <si>
    <t>Anskaffelse - Kontorstoler, 2021 - delkontrakt 2 - KANSELLERT</t>
  </si>
  <si>
    <t>2021-332293</t>
  </si>
  <si>
    <t>Anskaffelse - Kontorstoler, 2021 (2) - delkontrakt 1</t>
  </si>
  <si>
    <t>https://dirfo.sharepoint.com/:f:/r/sites/Grnneanskaffelser/Shared%20Documents/M%C3%B8bler/Statistikk%20og%20m%C3%A5ling/M%C3%A5ling%202022%20-%20Hedda/Konkurransegrunnlag/Konkurransegrunnlag%202021/%C3%85lesund%20kommune%20-%20kontorstoler%202%20utlysninger/%C3%85lesund%20kommune%20-%2028.03.2021?csf=1&amp;web=1&amp;e=IXku4A</t>
  </si>
  <si>
    <t>https://dirfo.sharepoint.com/:b:/r/sites/Grnneanskaffelser/Shared%20Documents/M%C3%B8bler/Statistikk%20og%20m%C3%A5ling/M%C3%A5ling%202022%20-%20Hedda/Konkurransegrunnlag/Konkurransegrunnlag%202021/%C3%85lesund%20kommune%20-%20kontorstoler%202%20utlysninger/%C3%85lesund%20kommune%20-%2028.03.2021/KKG%20-%20kontorstoler.pdf?csf=1&amp;web=1&amp;e=6vAAfQ</t>
  </si>
  <si>
    <t>Anskaffelse - Kontorstoler, 2021 (2) - delkontrakt 2</t>
  </si>
  <si>
    <t>2021-312165</t>
  </si>
  <si>
    <t>Anskaffelse - Kontormøbler, 2021</t>
  </si>
  <si>
    <t>https://dirfo.sharepoint.com/:f:/r/sites/Grnneanskaffelser/Shared%20Documents/M%C3%B8bler/Statistikk%20og%20m%C3%A5ling/M%C3%A5ling%202022%20-%20Hedda/Konkurransegrunnlag/Konkurransegrunnlag%202021/%C3%85lesund%20kommune%20-%2001.07.2021?csf=1&amp;web=1&amp;e=95wbam</t>
  </si>
  <si>
    <t>https://dirfo.sharepoint.com/:b:/r/sites/Grnneanskaffelser/Shared%20Documents/M%C3%B8bler/Statistikk%20og%20m%C3%A5ling/M%C3%A5ling%202022%20-%20Hedda/Konkurransegrunnlag/Konkurransegrunnlag%202021/%C3%85lesund%20kommune%20-%2001.07.2021/Konkurransegrunnlag.pdf?csf=1&amp;web=1&amp;e=9cG5tj</t>
  </si>
  <si>
    <t>2021-300473</t>
  </si>
  <si>
    <t>Åsnes kommune</t>
  </si>
  <si>
    <t>Kontormøbler og inventar Familiens Hus, Åsnes kommune</t>
  </si>
  <si>
    <t>https://www.mercell.com/nb-no/anbud/148781272/kontormoebler-og-inventar-familiens-hus-aasnes-kommune-anbud.aspx</t>
  </si>
  <si>
    <t>nils.lindeberg@asnes.kommune.no</t>
  </si>
  <si>
    <t>https://dirfo.sharepoint.com/:w:/r/sites/Grnneanskaffelser/Shared%20Documents/M%C3%B8bler/Statistikk%20og%20m%C3%A5ling/M%C3%A5ling%202022%20-%20Hedda/Konkurransegrunnlag/Konkurransegrunnlag%202021/%C3%85snes%20kommune%20-%2002.02.2021/Del%202%20Avtale%20varekj%C3%B8p%20Familiens%20Hus%2020210121.docx?d=waaeee629382d4e6fbd981958a2e0e215&amp;csf=1&amp;web=1&amp;e=fcA2TY</t>
  </si>
  <si>
    <t>Andel</t>
  </si>
  <si>
    <t>Utregningsrubikker:</t>
  </si>
  <si>
    <t>Kolonne1</t>
  </si>
  <si>
    <t>Miljø som kontrakts vilkår</t>
  </si>
  <si>
    <t>Har satt krav til sirkulær økonomi</t>
  </si>
  <si>
    <t>Krav til kvalitet på produktet</t>
  </si>
  <si>
    <t xml:space="preserve">Krav til sirkulære "forretningsmodeller" </t>
  </si>
  <si>
    <t>Rad nummer</t>
  </si>
  <si>
    <t>Har brukt Kriterie veiviseren</t>
  </si>
  <si>
    <t>g</t>
  </si>
  <si>
    <t>Farger</t>
  </si>
  <si>
    <t>DPS - ANDEL</t>
  </si>
  <si>
    <t>ANDELEN OPPDRAGSGIVERE SOM HAR BRUKT MINST 1 KRAV ORDRETT FRA KRITERIEVEIVISEREN</t>
  </si>
  <si>
    <t>GJENNOMSNITTLIG VEKTING</t>
  </si>
  <si>
    <t>FORDELINGEN AV ANSKAFFELSENE PÅ DE FORSKJELLIGE KRAVENE FRA KRITERIEVEIVISEREN</t>
  </si>
  <si>
    <t>FORDELING AV OPPDRAGSGIVERE PÅ DE FORSKJELLIGE KRAVENE I KRITERIEVEIVISEREN ORDRETT</t>
  </si>
  <si>
    <t>FORDELING AV OPPDRAGSGIVERE PÅ DE FORSKJELLIGE KRAVENE I KRITERIEVEIVISEREN (BÅDE ORDRETT OG IKKE LIKT)</t>
  </si>
  <si>
    <t>FORDELING AV OPPDRAGSGIVERE PÅ DE FORSKJELLIGE KRAVENE I KRITERIEVEIVISEREN (BRUKT KRAVET, MEN IKKE ORDRETT)</t>
  </si>
  <si>
    <t>MILJØ SOM TILDELINGSKRITERIUM</t>
  </si>
  <si>
    <t>UNIVERSITET OG HØYSKOLE ER EGEN OPPDRAGSGIVER</t>
  </si>
  <si>
    <t>MILJØ SOM TILDELINGSKRITERIUM: PROSENTVIS ANDEL FORDELT PÅ OPPDRAGSGIVERE</t>
  </si>
  <si>
    <t xml:space="preserve">MILJØ SOM TILDELINGSKRITERIUM: PROSENTVIS ANDEL AV OPPDRAGSGIVERE </t>
  </si>
  <si>
    <t>MILJØ SOM TILDELINGSKRITERIUM: PROSENTVIS ANDEL AV TOTALVERDI FORDELT PÅ OPPDRAGSGIVERE</t>
  </si>
  <si>
    <t>MILJØ SOM TILDELINGSKRITERIUM: PROSENTVIS ANDEL AV TOTALVERDI</t>
  </si>
  <si>
    <t>Antall oppdragsgivere</t>
  </si>
  <si>
    <t>% av totalverdi fordelt på oppdragsgiver</t>
  </si>
  <si>
    <t>MILJØMERKE SOM TILDELINGSKRITERIUM</t>
  </si>
  <si>
    <t>MILJØMERKE SOM TILDELINGSKRITERIUM: PROSENTVIS ANDEL FORDELT PÅ OPPDRAGSGIVERE</t>
  </si>
  <si>
    <t xml:space="preserve">MILJØMERKE SOM TILDELINGSKRITERIUM: PROSENTVIS ANDEL AV OPPDRAGSGIVERE </t>
  </si>
  <si>
    <t>MILJØMERKE SOM TILDELINGSKRITERIUM: PROSENTVIS ANDEL AV TOTALVERDI FORDELT PÅ OPPDRAGSGIVERE</t>
  </si>
  <si>
    <t xml:space="preserve">MILJØMERKE SOM TILDELINGSKRITERIUM: PROSENTVIS ANDEL AV TOTALVERDI </t>
  </si>
  <si>
    <t>EPD SOM TILDELINGSKRITERIUM</t>
  </si>
  <si>
    <t>EPD SOM TILDELINGSKRITERIUM: PROSENTVIS ANDEL FORDELT PÅ OPPDRAGSGIVERE</t>
  </si>
  <si>
    <t xml:space="preserve">EPD SOM TILDELINGSKRITERIUM: PROSENTVIS ANDEL AV OPPDRAGSGIVERE </t>
  </si>
  <si>
    <t>EPD SOM TILDELINGSKRITERIUM: PROSENTVIS ANDEL AV TOTALVERDI FORDELT PÅ OPPDRAGSGIVERE</t>
  </si>
  <si>
    <t xml:space="preserve">EPD SOM TILDELINGSKRITERIUM: PROSENTVIS ANDEL AV TOTALVERDI </t>
  </si>
  <si>
    <t>MILJØ SOM KONTRAKTSVILKÅR</t>
  </si>
  <si>
    <t>MILJØ SOM KONTRAKTSVILKÅR: PROSENTVIS ANDEL FORDELT PÅ OPPDRAGSGIVERE</t>
  </si>
  <si>
    <t xml:space="preserve">MILJØ SOM KONTRAKTSVILKÅR: PROSENTVIS ANDEL AV OPPDRAGSGIVERE </t>
  </si>
  <si>
    <t>MILJØ SOM KONTRAKTSVILKÅR: PROSENTVIS ANDEL AV TOTALVERDI FORDELT PÅ OPPDRAGSGIVERE</t>
  </si>
  <si>
    <t xml:space="preserve">MILJØ SOM KONTRAKTSVILKÅR: PROSENTVIS ANDEL AV TOTALVERDI </t>
  </si>
  <si>
    <t>MILJØ SOM KVALIFIKASJONSKRAV</t>
  </si>
  <si>
    <t>MILJØ SOM KVALIFIKASJONSKRAV: PROSENTVIS ANDEL FORDELT PÅ OPPDRAGSGIVERE</t>
  </si>
  <si>
    <t xml:space="preserve">MILJØ SOM KVALIFIKASJONSKRAV: PROSENTVIS ANDEL AV OPPDRAGSGIVERE </t>
  </si>
  <si>
    <t>MILJØ SOM KVALIFIKASJONSKRAV: PROSENTVIS ANDEL AV TOTALVERDI FORDELT PÅ OPPDRAGSGIVERE</t>
  </si>
  <si>
    <t xml:space="preserve">MILJØ SOM KVALIFIKASJONSKRAV: PROSENTVIS ANDEL AV TOTALVERDI </t>
  </si>
  <si>
    <t>MILJØ SOM KRAVSPESIFIKASJON</t>
  </si>
  <si>
    <t>MILJØ SOM KRAVSPESIFIKASJON: PROSENTVIS ANDEL FORDELT PÅ OPPDRAGSGIVERE</t>
  </si>
  <si>
    <t xml:space="preserve">MILJØ SOM KRAVSPESIFIKASJON: PROSENTVIS ANDEL AV OPPDRAGSGIVERE </t>
  </si>
  <si>
    <t>MILJØ SOM KRAVSPESIFIKASJON: PROSENTVIS ANDEL AV TOTALVERDI FORDELT PÅ OPPDRAGSGIVERE</t>
  </si>
  <si>
    <t xml:space="preserve">MILJØ SOM KRAVSPESIFIKASJON: PROSENTVIS ANDEL AV TOTALVERDI </t>
  </si>
  <si>
    <t>MILJØLEDELSESSYSTEM</t>
  </si>
  <si>
    <t>MILJØLEDELSESSYSTEM: PROSENTVIS ANDEL FORDELT PÅ OPPDRAGSGIVERE</t>
  </si>
  <si>
    <t xml:space="preserve">MILJØLEDELSESSYSTEM: PROSENTVIS ANDEL AV OPPDRAGSGIVERE </t>
  </si>
  <si>
    <t>MILJØLEDELSESSYSTEM: PROSENTVIS ANDEL AV TOTALVERDI FORDELT PÅ OPPDRAGSGIVERE</t>
  </si>
  <si>
    <t xml:space="preserve">MILJØLEDELSESSYSTEM: PROSENTVIS ANDEL AV TOTALVERDI </t>
  </si>
  <si>
    <t>MILJØMERKE TYPE 1 SOM KONTRAKTSVILKÅR, KRAV ELLER TILDELINGSKRITERIUM</t>
  </si>
  <si>
    <t>MILJØMERKE TYPE 1: PROSENTVIS ANDEL FORDELT PÅ OPPDRAGSGIVERE</t>
  </si>
  <si>
    <t xml:space="preserve">MILJØMERKE: PROSENTVIS ANDEL AV OPPDRAGSGIVERE </t>
  </si>
  <si>
    <t>MILJØMERKE: PROSENTVIS ANDEL AV TOTALVERDI FORDELT PÅ OPPDRAGSGIVERE</t>
  </si>
  <si>
    <t xml:space="preserve">MILJØMERKE: PROSENTVIS ANDEL AV TOTALVERDI </t>
  </si>
  <si>
    <t>Hvor mange som har brukt det som tildeling, krav og kontrakt</t>
  </si>
  <si>
    <t>EPD SOM KONTRAKTSVILKÅR, KRAV ELLER TILDELINGSKRITERIUM</t>
  </si>
  <si>
    <t xml:space="preserve">EPD: PROSENTVIS ANDEL FORDELT PÅ OPPDRAGSGIVERE </t>
  </si>
  <si>
    <t xml:space="preserve">EPD: PROSENTVIS ANDEL AV OPPDRAGSGIVERE </t>
  </si>
  <si>
    <t>EPD: PROSENTVIS ANDEL AV TOTALVERDI FORDELT PÅ OPPDRAGSGIVERE</t>
  </si>
  <si>
    <t xml:space="preserve">EPD: PROSENTVIS ANDEL AV TOTALVERDI </t>
  </si>
  <si>
    <t>KRAV TIL BÆREKRAFTIG SKOGBRUK (PEFC/FSC/¨TØMMERFORORDNINGEN)</t>
  </si>
  <si>
    <t>BÆREKRAFTIG SKOGBRUK: PROSENTVIS ANDEL FORDELT PÅ OPPDRAGSGIVERE</t>
  </si>
  <si>
    <t xml:space="preserve">BÆREKRAFTIG SKOGBRUK: PROSENTVIS ANDEL AV OPPDRAGSGIVERE </t>
  </si>
  <si>
    <t>SIRKULÆR ØKONOMI - KRAV TIL KVALITET</t>
  </si>
  <si>
    <t>KRAV TIL KVALITET PÅ PRODUKTET: PROSENTVIS ANTALL OPPDRAGSGIVERE</t>
  </si>
  <si>
    <t>ANDEL OPPDRAGSGIVERE FORDELT PÅ DE FORSKJELLIGE KVALITETSKRAVENE</t>
  </si>
  <si>
    <t>SIRKULÆRE FORRETNINGSMODELLER</t>
  </si>
  <si>
    <t>KRAV TIL SIRKULÆRE FORRETNINGSMODELLER: PROSENTVIS ANTALL OPPDRAGSGIVERE</t>
  </si>
  <si>
    <t>ANDEL ANSKAFFELSER SOM HAR KRAV TIL SIRKULÆRE FORRETNINGSMODELLER FORDELT PÅ DE FORSKJELLIGE KRAVENE</t>
  </si>
  <si>
    <t>KRAV TIL KVALITET</t>
  </si>
  <si>
    <t>KRAV TIL KVALITET: PROSENTVIS ANDEL FORDELT PÅ OPPDRAGSGIVERE</t>
  </si>
  <si>
    <t xml:space="preserve">KRAV TIL KVALITET: PROSENTVIS ANDEL AV OPPDRAGSGIVERE </t>
  </si>
  <si>
    <t>KRAV TIL ROBUSTE MØBELTEKSTILER</t>
  </si>
  <si>
    <t>KRAV TIL ROBUSTE MØBELTEKSTILER: PROSENTVIS ANDEL FORDELT PÅ OPPDRAGSGIVERE</t>
  </si>
  <si>
    <t xml:space="preserve">KRAV TIL ROBUSTE MØBELTEKSTILER: PROSENTVIS ANDEL AV OPPDRAGSGIVERE </t>
  </si>
  <si>
    <t>LEVERANDØREN SKAL KUNNE LEVERE BRUKTE MØBLER</t>
  </si>
  <si>
    <t>BRUKTE MØBLER ER UNTATT FRA AVTALEN</t>
  </si>
  <si>
    <t xml:space="preserve">KRAV TIL LEVERANDØREN SKAL KUNNE LEVERE BRUKTE MØBLER: PROSENTVIS ANDEL AV OPPDRAGSGIVERE </t>
  </si>
  <si>
    <t xml:space="preserve">BRUKTE MØBLER ER UNTATT FRA AVTALEN: PROSENTVIS ANDEL AV OPPDRAGSGIVERE </t>
  </si>
  <si>
    <t>KRAV TIL PRODUKTINFORMASJON OM DEMONTERING, REPARASJON OG TILGANG PÅ RESERVEDELER</t>
  </si>
  <si>
    <t>KRAV TIL PRODUKTINFORMASJON OM DEMONTERING, REPARASJON OG TILGANG PÅ RESERVEDELER: PROSENTVIS ANDEL FORDELT PÅ OPPDRAGSGIVERE</t>
  </si>
  <si>
    <t xml:space="preserve">KRAV TIL PRODUKTINFORMASJON OM DEMONTERING, REPARASJON OG TILGANG PÅ RESERVEDELER: PROSENTVIS ANDEL AV OPPDRAGSGIVERE </t>
  </si>
  <si>
    <t>KRAV TIL MERKING AV PLASTDELER</t>
  </si>
  <si>
    <t>KRAV TIL MERKING AV PLAST: PROSENTVIS ANDEL FORDELT PÅ OPPDRAGSGIVERE</t>
  </si>
  <si>
    <t xml:space="preserve">KRAV TIL MERKING AV PLAST: PROSENTVIS ANDEL AV OPPDRAGSGIVERE </t>
  </si>
  <si>
    <t>KRAV TIL AT LEVERANDØREN SKAL TA TILBAKE BRUKTE MØBLER</t>
  </si>
  <si>
    <t>KRAV TIL AVHENDING, VIDERESALG, MATERIALGJENVINNES/RESIRKULERES</t>
  </si>
  <si>
    <t>KRAV TIL TCO/ LCC (Livssyklus kostnader)</t>
  </si>
  <si>
    <t>KRAV TIL AT LEVERANDØREN SKAL TA TILBAKE BRUKTE MØBLER: PROSENTVIS ANDEL AV OPPDRAGSGIVERE</t>
  </si>
  <si>
    <t>KRAV TIL AVHENDING, VIDERESALG, MATERIALGJENVINNES/RESIRKULERES: PROSENTVIS ANDEL AV OPPDRAGSGIVERE</t>
  </si>
  <si>
    <t xml:space="preserve">KRAV TIL TCO/ LCC </t>
  </si>
  <si>
    <t>KRAV TIL SERVICEAVTALE/REPARASJONSAVTALE</t>
  </si>
  <si>
    <t>SERVICEAVTALE/REPARASJONSAVTALE: PROSENTVIS ANDEL FORDELT PÅ OPPDRAGSGIVERE</t>
  </si>
  <si>
    <t xml:space="preserve">SERVICEAVTALE/REPARASJONSAVTALE: PROSENTVIS ANDEL AV OPPDRAGSGIVERE </t>
  </si>
  <si>
    <t>GARANTI TID</t>
  </si>
  <si>
    <t>MINIMUMSKRAV TIL GARANTITID: PROSENTVIS ANDEL FORDELT PÅ OPPDRAGSGIVERE</t>
  </si>
  <si>
    <t>GARANTITID: PROSENTVIS ANDEL AV OPPDRAGSGIVERE</t>
  </si>
  <si>
    <t>KRAV TIL ENKEL RENGJØRING AV MØBLER</t>
  </si>
  <si>
    <t>KRAV TIL ENKEL RENGJØRING AV MØBLER: PROSENTVIS ANDEL FORDELT PÅ OPPDRAGSGIVERE</t>
  </si>
  <si>
    <t xml:space="preserve">KRAV TIL ENKEL RENGJØRING AV MØBLER: PROSENTVIS ANDEL AV OPPDRAGSGIVERE </t>
  </si>
  <si>
    <t>BRUK AV RESIRKULERT MATERIALE</t>
  </si>
  <si>
    <t>KRAV TIL RESIRKULERT MATERIALE</t>
  </si>
  <si>
    <t>KRAV OM MILJØVENNELIG EMBALLASJE</t>
  </si>
  <si>
    <t>KRAV TIL MILJØVENNELIG EMBALLASJE: PROSENTVIS ANDEL FORDELT PÅ OPPDRAGSGIVERE</t>
  </si>
  <si>
    <t xml:space="preserve">KRAV TIL MILJØVENNELIG EMBALLASJE: PROSENTVIS ANDEL AV OPPDRAGSGIVERE </t>
  </si>
  <si>
    <t>KRAV OM GJENVINNBAR EMBALLASJE</t>
  </si>
  <si>
    <t>KRAV TIL GJENVINNBAR EMBALLASJE: PROSENTVIS ANDEL FORDELT PÅ OPPDRAGSGIVERE</t>
  </si>
  <si>
    <t xml:space="preserve">KRAV TIL GJENVINNBAR EMBALLASJE: PROSENTVIS ANDEL AV OPPDRAGSGIVERE </t>
  </si>
  <si>
    <t>KJEMIKALIER - GENERELT</t>
  </si>
  <si>
    <t>KRAV TIL KJEMIKALIER: PROSENTVIS ANTALL OPPDRAGSGIVERE</t>
  </si>
  <si>
    <t>ANDEL OPPDRAGSGIVERE FORDELT PÅ DE FORSKJELLIGE KJEMIKALIEKRAVENE</t>
  </si>
  <si>
    <t>ANDEL AV OPPDRAGSGIVERE SOM HAR BRUKT KJEMIKALIETABELLEN - (FRA KRITERIEVEIVISEREN)</t>
  </si>
  <si>
    <t>KJEMIKALIER - REACH</t>
  </si>
  <si>
    <t>KRAV TIL REACH: PROSENTVIS ANDEL FORDELT PÅ OPPDRAGSGIVERE</t>
  </si>
  <si>
    <t>KRAV TIL REACH: PROSENTVIS ANDEL AV OPPDRAGSGIVERE</t>
  </si>
  <si>
    <t>KJEMIKALIER - PRODUKTFORSKRIFTEN</t>
  </si>
  <si>
    <t>KRAV TIL PRODUKTFORSKRIFTEN: PROSENTVIS ANDEL FORDELT PÅ OPPDRAGSGIVERE</t>
  </si>
  <si>
    <t>KRAV TIL PRODUKTFORSKRIFTEN: PROSENTVIS ANDEL AV OPPDRAGSGIVERE</t>
  </si>
  <si>
    <t>KJEMIKALIER - CLP-FORORDNINGEN</t>
  </si>
  <si>
    <t>KRAV TIL CLP-FORORDNINGEN: PROSENTVIS ANDEL FORDELT PÅ OPPDRAGSGIVERE</t>
  </si>
  <si>
    <t>KRAV TIL CLP-FORORDNINGEN: PROSENTVIS ANDEL AV OPPDRAGSGIVERE</t>
  </si>
  <si>
    <t>KJEMIKALIER - VOC</t>
  </si>
  <si>
    <t>KRAV TIL VOC: PROSENTVIS ANDEL FORDELT PÅ OPPDRAGSGIVERE</t>
  </si>
  <si>
    <t>KRAV TIL VOC: PROSENTVIS ANDEL AV OPPDRAGSGIVERE</t>
  </si>
  <si>
    <t>KJEMIKALIER - FORMALDEHYD</t>
  </si>
  <si>
    <t>KRAV TIL FORMALDEHYD: PROSENTVIS ANDEL FORDELT PÅ OPPDRAGSGIVERE</t>
  </si>
  <si>
    <t>KRAV TIL FORMALDEHYD: PROSENTVIS ANDEL AV OPPDRAGSGIVERE</t>
  </si>
  <si>
    <t>KJEMIKALIER - FLAMMEHEMMERE</t>
  </si>
  <si>
    <t>KRAV TIL FLAMMEHEMMERE: PROSENTVIS ANDEL FORDELT PÅ OPPDRAGSGIVERE</t>
  </si>
  <si>
    <t>KRAV TIL FLAMMEHEMMERE: PROSENTVIS ANDEL AV OPPDRAGSGIVERE</t>
  </si>
  <si>
    <t>KJEMIKALIER - PVC</t>
  </si>
  <si>
    <t>KRAV TIL PVC: PROSENTVIS ANDEL FORDELT PÅ OPPDRAGSGIVERE</t>
  </si>
  <si>
    <t>KRAV TIL PVC: PROSENTVIS ANDEL AV OPPDRAGSGIVERE</t>
  </si>
  <si>
    <t>KJEMIKALIER - TUNGMETALLER</t>
  </si>
  <si>
    <t>KRAV TIL TUNGMETALLER: PROSENTVIS ANDEL AV OPPDRAGSGIVERE</t>
  </si>
  <si>
    <t>KJEMIKALIER - KVIKKSØLV</t>
  </si>
  <si>
    <t>KRAV TIL KVIKKSØLV: PROSENTVIS ANDEL FORDELT PÅ OPPDRAGSGIVERE</t>
  </si>
  <si>
    <t>KRAV TIL KVIKKSØLV: PROSENTVIS ANDEL AV OPPDRAGSGIVERE</t>
  </si>
  <si>
    <t>KJEMIKALIER - KROM</t>
  </si>
  <si>
    <t>KRAV TIL KROM: PROSENTVIS ANDEL FORDELT PÅ OPPDRAGSGIVERE</t>
  </si>
  <si>
    <t>KRAV TIL KROM: PROSENTVIS ANDEL AV OPPDRAGSGIVERE</t>
  </si>
  <si>
    <t>KJEMIKALIER - BLY</t>
  </si>
  <si>
    <t>KRAV TIL BLY: PROSENTVIS ANDEL FORDELT PÅ OPPDRAGSGIVERE</t>
  </si>
  <si>
    <t>KRAV TIL BLY: PROSENTVIS ANDEL AV OPPDRAGSGIVERE</t>
  </si>
  <si>
    <t>KJEMIKALIER - KADIUM</t>
  </si>
  <si>
    <t>KRAV TIL KADIUM: PROSENTVIS ANDEL FORDELT PÅ OPPDRAGSGIVERE</t>
  </si>
  <si>
    <t>KRAV TIL KADIUM: PROSENTVIS ANDEL AV OPPDRAGSGIVERE</t>
  </si>
  <si>
    <t>MENNESKERETTIGHETER - GENERELT</t>
  </si>
  <si>
    <t>KRAV TIL MENNESKERETTIGHETER: PROSENTVIS ANDEL FORDELT PÅ OPPDRAGSGIVERE</t>
  </si>
  <si>
    <t>KRAV TIL MENNESKERETTIGHETER: PROSENTVIS ANDEL AV OPPDRAGSGIVERE</t>
  </si>
  <si>
    <t>MENNESKERETTIGHETER SOM KONTRAKTSVILKÅR</t>
  </si>
  <si>
    <t>MENNESKERETTIGHETER SOM KONTRAKTSVILKÅR: PROSENTVIS ANDEL FORDELT PÅ OPPDRAGSGIVERE</t>
  </si>
  <si>
    <t>MENNESKERETTIGHETER SOM KONTRAKTSVILKÅR: PROSENTVIS ANDEL AV OPPDRAGSGIVERE</t>
  </si>
  <si>
    <t>MENNESKERETTIGHETER SOM KVALIFIKASJONSKRAV</t>
  </si>
  <si>
    <t>MENNESKERETTIGHETER SOM KVALIFIKASJONSKRAV: PROSENTVIS ANDEL FORDELT PÅ OPPDRAGSGIVERE</t>
  </si>
  <si>
    <t>MENNESKERETTIGHETER SOM KVALIFIKASJONSKRAV: PROSENTVIS ANDEL AV OPPDRAGSGIVERE</t>
  </si>
  <si>
    <t>MENNESKERETTIGHETER SOM KRAVSPESIFIKASJON</t>
  </si>
  <si>
    <t>MENNESKERETTIGHETER SOM KRAVSPESIFIKAJSON: PROSENTVIS ANDEL FORDELT PÅ OPPDRAGSGIVERE</t>
  </si>
  <si>
    <t>MENNESKERETTIGHETER SOM KRAVSPESIFIKASJON: PROSENTVIS ANDEL AV OPPDRAGSGIVERE</t>
  </si>
  <si>
    <t>DPS andel</t>
  </si>
  <si>
    <t>Antall</t>
  </si>
  <si>
    <t>Prosentvis</t>
  </si>
  <si>
    <t>Brukt kriterieveiviseren</t>
  </si>
  <si>
    <t>Bærekraftig trevirke i møbler</t>
  </si>
  <si>
    <t>Møbler med høy kvalitet etter produktstandard</t>
  </si>
  <si>
    <t>Robuste møbeltekstiler</t>
  </si>
  <si>
    <t>Produktinformasjon om demontering, reparasjon og tilgang på reservedeler</t>
  </si>
  <si>
    <t>Avhending, videresalg, materialgjenvinnes/ resirkuleres</t>
  </si>
  <si>
    <t>Enkel rengjøring av møbler</t>
  </si>
  <si>
    <t>Miljøvennelig emballasje</t>
  </si>
  <si>
    <t>Gjenvinnbar emballasje</t>
  </si>
  <si>
    <t xml:space="preserve">Unngå skadelige kjemikalier </t>
  </si>
  <si>
    <t>Brannsikkerhet og å unngå bruk av flammehemmere</t>
  </si>
  <si>
    <t>Unngå bruk av PVC</t>
  </si>
  <si>
    <t>Ivaretagelse av grunnleggende menneskerettigheter i leverandørkjeder</t>
  </si>
  <si>
    <t>Ikke DPS</t>
  </si>
  <si>
    <t>Andelen anskaffelser som har brukt minst 1 krav ordrett fra Kriterieveiviseren</t>
  </si>
  <si>
    <t>Andelen anskaffelser som har brukt krav fra Kriterieveiviseren</t>
  </si>
  <si>
    <t xml:space="preserve">DPS  </t>
  </si>
  <si>
    <t>Ikke brukt krtierieveiviseren</t>
  </si>
  <si>
    <t>Ikke brukt</t>
  </si>
  <si>
    <t>Total</t>
  </si>
  <si>
    <t>Prosent</t>
  </si>
  <si>
    <t>Rang</t>
  </si>
  <si>
    <t>Krav</t>
  </si>
  <si>
    <t>Miljø som tildelingskriterium</t>
  </si>
  <si>
    <t>Prosentandel som har miljø som tildelingskriterium</t>
  </si>
  <si>
    <t>Prosentvis fordeling av antall</t>
  </si>
  <si>
    <t>Estimert verdi som har miljø som tildelingskriterium</t>
  </si>
  <si>
    <t>Prosentvis fordeling av verdi</t>
  </si>
  <si>
    <t>Totalverdi</t>
  </si>
  <si>
    <t>Ja</t>
  </si>
  <si>
    <t xml:space="preserve">Nei </t>
  </si>
  <si>
    <t>Andel  anskaffelser som har brukt miljø som tildelingskriterium</t>
  </si>
  <si>
    <t>Ikke brukt miljø miljø som tildelingskritierum</t>
  </si>
  <si>
    <t>Estimert verdi som har miljø som tildelingskriterium (%)</t>
  </si>
  <si>
    <t>Andel av totalverdi der miljø er brukt som tildelingskriterium</t>
  </si>
  <si>
    <t>Total verdi av miljø som tildelingskriterium</t>
  </si>
  <si>
    <t>Miljømerke som tildelingskriterium</t>
  </si>
  <si>
    <t>Prosentandel som har miljømerke som tildelingskriterium</t>
  </si>
  <si>
    <t>Estimert verdi som har miljømerke som tildelingskriterium (%)</t>
  </si>
  <si>
    <t>Andel  anskaffelser som har brukt miljømerke som tildelingskriterium</t>
  </si>
  <si>
    <t>Andel av totalverdi der miljømerke er brukt som tildelingskriterium</t>
  </si>
  <si>
    <t>EPD som tildelingskriterium</t>
  </si>
  <si>
    <t>Andel  anskaffelser som har brukt EPD som tildelingskriterium</t>
  </si>
  <si>
    <t>Andel av totalverdi der EPD er brukt som tildelingskriterium</t>
  </si>
  <si>
    <t>Ikke brukt EPD som tildelingskritierum</t>
  </si>
  <si>
    <t>Estimert verdi som har miljø som kontraktsvilkår(%)</t>
  </si>
  <si>
    <t>Andel  anskaffelser som har brukt miljø som  kontraktsvilkår</t>
  </si>
  <si>
    <t>Ikke brukt miljø  som kontraktsvilkår'</t>
  </si>
  <si>
    <t>Andel av totalverdi der miljø er brukt som kontraktsvilkår</t>
  </si>
  <si>
    <t>Ikke brukt miljø som kontraktsvilkår</t>
  </si>
  <si>
    <t>Miljø som kvalifikasjonskrav</t>
  </si>
  <si>
    <t>Estimert verdi som har miljø som kvalifikasjonskrav(%)</t>
  </si>
  <si>
    <t>Andel  anskaffelser som har brukt miljø som kvalifikasjonskr</t>
  </si>
  <si>
    <t>Ikke brukt miljø  som kvalifikasjonskrav</t>
  </si>
  <si>
    <t>Andel av totalverdi der miljø er brukt som kvalifikasjonskrav</t>
  </si>
  <si>
    <t>Ikke brukt miljø som kvalifikasjonskrav</t>
  </si>
  <si>
    <t>Miljø som kravspesifikasjon</t>
  </si>
  <si>
    <t>Estimert verdi som har miljø som kravspesifikasjon(%)</t>
  </si>
  <si>
    <t>Andel  anskaffelser som har brukt miljø som krspesifikasjon</t>
  </si>
  <si>
    <t>Ikke brukt miljø  som kravspesifikasjon</t>
  </si>
  <si>
    <t>Andel av totalverdi der miljø er brukt som kravspesifikasjon</t>
  </si>
  <si>
    <t>Ikke brukt miljø som kravspesifikasjon</t>
  </si>
  <si>
    <t>Miljøledelsessystem som tildelingskriterium</t>
  </si>
  <si>
    <t>Estimert verdi som har krav til miljøledelsessystem</t>
  </si>
  <si>
    <t>Andel  anskaffelser som har krav til miljøledelsessystem</t>
  </si>
  <si>
    <t>Ikke brukt miljøledelsessystem</t>
  </si>
  <si>
    <t>Andel av totalverdi der det er krav til miljøledelsessystem</t>
  </si>
  <si>
    <t xml:space="preserve">Miljømerke </t>
  </si>
  <si>
    <t>Estimert verdi som har krav til Type 1 - miljømerke</t>
  </si>
  <si>
    <t>Andel  anskaffelser som har Type 1 - miljømerke som kr, tildelingskriterium eller kontraktsvilkår</t>
  </si>
  <si>
    <t>Ikke brukt Type 1 - miljømerke</t>
  </si>
  <si>
    <t>Andel av totalverdi der det er krav til miljømerke</t>
  </si>
  <si>
    <t xml:space="preserve">EPD </t>
  </si>
  <si>
    <t>Estimert verdi som har krav til EPD</t>
  </si>
  <si>
    <t>Andel  anskaffelser som har EPD som kr, tildelingskriterium eller kontraktsvilkår</t>
  </si>
  <si>
    <t>Ikke brukt EPD</t>
  </si>
  <si>
    <t>Andel av totalverdi der det er krav til EPD</t>
  </si>
  <si>
    <t>Bærekraftig skogbruk (FSC/PEFC)</t>
  </si>
  <si>
    <t>Andel  anskaffelser som har stilt kr til bærekraftig skogbruk</t>
  </si>
  <si>
    <t>Ikke stilt krav til bærekraftig skogbruk</t>
  </si>
  <si>
    <t>Sirkulær økonomi - krav til kvalitet på produktet</t>
  </si>
  <si>
    <t>Fordeling av anskaffelser på de forskjellige kravene</t>
  </si>
  <si>
    <t>Har stilt krav til kvalitet på produktet</t>
  </si>
  <si>
    <t>Har ikke stilt krav til sirkulær økonomi</t>
  </si>
  <si>
    <t>Totalt</t>
  </si>
  <si>
    <t>Krav til kvalitet (EN standarder/Norsk møbelfakta)</t>
  </si>
  <si>
    <t>Bruk av resirkulert materiale</t>
  </si>
  <si>
    <t>Skal kunne materialgjenvinnes/ resirkuleres, eller at de ber om en tjeneste om at leverandøren gjør det</t>
  </si>
  <si>
    <t>Nei</t>
  </si>
  <si>
    <t>Prosentvis andel  anskaffelser som har stilt kr</t>
  </si>
  <si>
    <t>Sirkulær økonomi - krav til sirkulære forretningsmodeller</t>
  </si>
  <si>
    <t>Krav til kvalitet (Norsk møbelfakta)</t>
  </si>
  <si>
    <t>Har krav til kvalitet</t>
  </si>
  <si>
    <t>Har brukt Kriterieveiviserens krav til kvalitet</t>
  </si>
  <si>
    <t>Andel anskaffelser som har krav til kvalitet</t>
  </si>
  <si>
    <t>Andel anskaffelser som har brukt krtierieveiviserens krav til kvalitet</t>
  </si>
  <si>
    <t>Andel som ikke har krav til kvalitet</t>
  </si>
  <si>
    <t>Andel  anskaffelser som har stilt krav til kvalitet</t>
  </si>
  <si>
    <t>Ikke stilt krav til kvalitet</t>
  </si>
  <si>
    <t>Har krav til robuste møbeltekstiler</t>
  </si>
  <si>
    <t>Har brukt Kriterieveiviserens krav til robuste møbeltekstiler</t>
  </si>
  <si>
    <t>Andel anskaffelser som har krav til robuste møbeltekstiler</t>
  </si>
  <si>
    <t>Andel anskaffelser som har brukt krtierieveiviserens krav til robuste møbeltekstiler</t>
  </si>
  <si>
    <t>Andel som ikke har krav til robuste møbeltekstiler</t>
  </si>
  <si>
    <t>Andel  anskaffelser som har stilt krav til robuste møbeltekstiler</t>
  </si>
  <si>
    <t>Ikke stilt krav til robuste møbeltekstiler</t>
  </si>
  <si>
    <t>Andel anskaffelser som har stilt krav til at leverandøren skal kunne levere brukte møbler</t>
  </si>
  <si>
    <t xml:space="preserve">Ikke stilt krav </t>
  </si>
  <si>
    <t>Andel av avtaler der brukte møbler er untatt fra avtalen</t>
  </si>
  <si>
    <t>Har krav til produktinformasjon om demontering, reparasjon og tilgang på reservedeler</t>
  </si>
  <si>
    <t>Har brukt Kriterieveiviserens krav til produktinformasjon om demontering, reparasjon og tilgang på reservedeler</t>
  </si>
  <si>
    <t>Andel anskaffelser som har stilt krav</t>
  </si>
  <si>
    <t>Andel anskaffelser som har brukt krtierieveiviserens krav</t>
  </si>
  <si>
    <t xml:space="preserve">Andel som ikke har stilt krav </t>
  </si>
  <si>
    <t>Andel anskaffelser som har stilt krav til produktinformasjon om demontering, reparasjon og tilgang på reservedeler</t>
  </si>
  <si>
    <t>Ikke stilt krav</t>
  </si>
  <si>
    <t>Har krav til merking av plast</t>
  </si>
  <si>
    <t>Har brukt Kriterieveiviserens krav til merking av plast</t>
  </si>
  <si>
    <t>Andel  anskaffelser som har stilt krav merking av plastdeler</t>
  </si>
  <si>
    <t>Leverandøren skal kunne ta tilbake brukte møbler</t>
  </si>
  <si>
    <t>Avhending, videresalg, materialegjenvinnes/  resirkuleres</t>
  </si>
  <si>
    <t>Andel  anskaffelser som har stilt krav til at leverandøren skal kunne ta tilbake brukte møbler</t>
  </si>
  <si>
    <t>Andel  anskaffelser der det er stilt krav til avhending, videresalg, materialgjenvinnes/resirkuleres</t>
  </si>
  <si>
    <t>Andel  anskaffelser der det er stilt krav til TCO/ LCC</t>
  </si>
  <si>
    <t>Andel anskaffelser som har stilt krav til serviceavtale/ reparasjonsavtale</t>
  </si>
  <si>
    <t>Garantitid</t>
  </si>
  <si>
    <t>Prosentvis fordeling</t>
  </si>
  <si>
    <t>Prosentvis fordeling av antall anskaffelser</t>
  </si>
  <si>
    <t>0 år</t>
  </si>
  <si>
    <t>2 år</t>
  </si>
  <si>
    <t>3 år</t>
  </si>
  <si>
    <t>5 år</t>
  </si>
  <si>
    <t>Enkel rengjøring av møblene</t>
  </si>
  <si>
    <t>Har krav til enkel rengjøring av møblene</t>
  </si>
  <si>
    <t>Har brukt Kriterieveiviserens krav til enkel rengjøring av møblene</t>
  </si>
  <si>
    <t>Andel anskaffelser som har stilt krav til enkel rengjøring</t>
  </si>
  <si>
    <t>Andel anskaffelser som har stilt krav til enkel rengjøring av møblene</t>
  </si>
  <si>
    <t>Andel av anskaffelser som har stilt krav til andel resirkulert materiale</t>
  </si>
  <si>
    <t>Kravet om miljøvennelig emballasje</t>
  </si>
  <si>
    <t>Har krav til miljøvennelig emballasje</t>
  </si>
  <si>
    <t>Har brukt Kriterieveiviserens krav til miljøvennelig emballasje</t>
  </si>
  <si>
    <t>Andel anskaffelser som har krav til miljøvennelig emballasje</t>
  </si>
  <si>
    <t>Andel anskaffelser som har brukt Kriterieveiviserens krav til miljøvennelig emballasje</t>
  </si>
  <si>
    <t>Andel anskaffelser som har stilt krav til miljøvennelig emballasje</t>
  </si>
  <si>
    <t>Kravet om gjenvinnbar emballasje</t>
  </si>
  <si>
    <t>Har krav til gjenvinnbar emballasje</t>
  </si>
  <si>
    <t>Har brukt Kriterieveiviserens krav til gjenvinnbar emballasje</t>
  </si>
  <si>
    <t>Andel anskaffelser som har krav til gjenvinnbar emballasje</t>
  </si>
  <si>
    <t>Andel anskaffelser som har brukt Kriterieveiviserens krav til gjenvinnbar emballasje</t>
  </si>
  <si>
    <t>Andel av anskaffelser som har stilt krav til gjenvinnbar emballasje</t>
  </si>
  <si>
    <t>Kjemikalier - generelt</t>
  </si>
  <si>
    <t>Andel anskaffelser som har stilt krav til kjemikalier</t>
  </si>
  <si>
    <t>Har ikke stilt krav til kjemikalier</t>
  </si>
  <si>
    <t xml:space="preserve">CLP-forordningen </t>
  </si>
  <si>
    <t>Prosentvis andel av anskaffelser som har stilt krav</t>
  </si>
  <si>
    <t>Kjemikalietabellen (fra Kriterieveiviseren)</t>
  </si>
  <si>
    <t>Andel som ikke har den inkludert</t>
  </si>
  <si>
    <t>Andel anskaffelser som har brukt en redigert versjon av Kriterieveiviserens kjemikalietabell</t>
  </si>
  <si>
    <t>Andel anskaffelser som har brukt Kriterieveiviserens kjemikalietabell</t>
  </si>
  <si>
    <t>REACH</t>
  </si>
  <si>
    <t>Andel anskaffelser som har stilt krav til REACH, Kandidatlisten eller Prioritetslisten</t>
  </si>
  <si>
    <t xml:space="preserve">Ikke brukt </t>
  </si>
  <si>
    <t>Produktforskriften</t>
  </si>
  <si>
    <t>Andel anskaffelser som har stilt krav til Produktforskriften</t>
  </si>
  <si>
    <t>CLP - forordningen</t>
  </si>
  <si>
    <t>Andel anskaffelser som har stilt krav til CLP-forordningen</t>
  </si>
  <si>
    <t>Andel anskaffelser som har stilt krav til VOC</t>
  </si>
  <si>
    <t>Andel anskaffelser som har stilt krav til Formaldehyd</t>
  </si>
  <si>
    <t>Kravet til flammehemmere</t>
  </si>
  <si>
    <t>Har krav til Flammehemmere</t>
  </si>
  <si>
    <t>Har brukt Kriterieveiviserens krav til flammehemmere</t>
  </si>
  <si>
    <t>Andel anskaffelser som har krav til flammehemmere</t>
  </si>
  <si>
    <t>Andel anskaffelser som har brukt Kriterieveiviserens krav til flammehemmere</t>
  </si>
  <si>
    <t>Andel anskaffelser som har stilt krav til flammehemmere</t>
  </si>
  <si>
    <t>Kravet til PVC</t>
  </si>
  <si>
    <t>Har krav til PVC</t>
  </si>
  <si>
    <t>Har brukt Kriterieveiviserens krav til PVC</t>
  </si>
  <si>
    <t>Andel anskaffelser som har krav til PVC</t>
  </si>
  <si>
    <t>Andel anskaffelser som har brukt Kriterieveiviserens krav til PVC</t>
  </si>
  <si>
    <t>Andel anskaffelser som har stilt krav til PVC</t>
  </si>
  <si>
    <t>Bruk av tungmetaller</t>
  </si>
  <si>
    <t>Andel anskaffelser som har stilt krav til tungmetaller</t>
  </si>
  <si>
    <t>Andel anskaffelser som har stilt krav til kvikksølv</t>
  </si>
  <si>
    <t>Krom</t>
  </si>
  <si>
    <t>Andel anskaffelser som har stilt krav til krom</t>
  </si>
  <si>
    <t>Andel anskaffelser som har stilt krav til bly</t>
  </si>
  <si>
    <t>Kadium</t>
  </si>
  <si>
    <t>Andel anskaffelser som har stilt krav til kadium</t>
  </si>
  <si>
    <t>MENNESKERETTIGHETER/ ETISKE KRAV</t>
  </si>
  <si>
    <t>Menneskerettigheter generelt</t>
  </si>
  <si>
    <t>Har stilt krav til menneskerettigheter</t>
  </si>
  <si>
    <t>Har brukt Kriterieveiviserens krav til menneskerettigheter</t>
  </si>
  <si>
    <t>Total andel</t>
  </si>
  <si>
    <t>Menneskerettigheter som kontraktsvilkår</t>
  </si>
  <si>
    <t>Andel anskaffelser som har menneskerettigheter som kontraktsvilkår</t>
  </si>
  <si>
    <t>Menneskerettigheter som kvalifikasjonskrav</t>
  </si>
  <si>
    <t>Andel anskaffelser som har menneskerettigheter som kvalifikasjonskrav</t>
  </si>
  <si>
    <t>Menneskerettigheter som kravspesifikasjon</t>
  </si>
  <si>
    <t>Andel anskaffelser som har menneskerettigheter som kravspesifikasjon</t>
  </si>
  <si>
    <t>Gjennomsnittlig vekting</t>
  </si>
  <si>
    <t>Vekting av miljø</t>
  </si>
  <si>
    <t>Vekting av pris</t>
  </si>
  <si>
    <t>Vekting av kvalitet og service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</si>
</sst>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quot;kr&quot;\ #,##0"/>
    <numFmt numFmtId="165" formatCode="#,##0_ &quot;kr&quot;"/>
    <numFmt numFmtId="166" formatCode="0.000000000000"/>
  </numFmts>
  <fonts count="12" x14ac:knownFonts="1">
    <font>
      <sz val="11"/>
      <color theme="1"/>
      <name val="Calibri"/>
      <family val="2"/>
      <scheme val="minor"/>
    </font>
    <font>
      <b/>
      <sz val="11"/>
      <color theme="1"/>
      <name val="Calibri"/>
      <family val="2"/>
      <scheme val="minor"/>
    </font>
    <font>
      <u/>
      <sz val="11"/>
      <color theme="10"/>
      <name val="Calibri"/>
      <family val="2"/>
      <scheme val="minor"/>
    </font>
    <font>
      <sz val="11"/>
      <color rgb="FFFF0000"/>
      <name val="Calibri"/>
      <family val="2"/>
      <scheme val="minor"/>
    </font>
    <font>
      <b/>
      <sz val="11"/>
      <color theme="0" tint="-4.9989318521683403E-2"/>
      <name val="Calibri"/>
      <family val="2"/>
      <scheme val="minor"/>
    </font>
    <font>
      <sz val="11"/>
      <name val="Calibri"/>
      <family val="2"/>
      <scheme val="minor"/>
    </font>
    <font>
      <sz val="11"/>
      <color theme="1"/>
      <name val="Calibri"/>
      <family val="2"/>
      <scheme val="minor"/>
    </font>
    <font>
      <b/>
      <sz val="14"/>
      <color theme="1"/>
      <name val="Calibri"/>
      <family val="2"/>
      <scheme val="minor"/>
    </font>
    <font>
      <b/>
      <sz val="12"/>
      <color theme="0" tint="-4.9989318521683403E-2"/>
      <name val="Source Serif Pro"/>
      <family val="1"/>
    </font>
    <font>
      <b/>
      <sz val="12"/>
      <color rgb="FFFFFFFF"/>
      <name val="Source Serif Pro"/>
      <family val="1"/>
    </font>
    <font>
      <b/>
      <sz val="12"/>
      <color theme="1"/>
      <name val="Calibri"/>
      <family val="2"/>
      <scheme val="minor"/>
    </font>
    <font>
      <b/>
      <sz val="16"/>
      <color theme="1"/>
      <name val="Calibri"/>
      <family val="2"/>
      <scheme val="minor"/>
    </font>
  </fonts>
  <fills count="18">
    <fill>
      <patternFill patternType="none"/>
    </fill>
    <fill>
      <patternFill patternType="gray125"/>
    </fill>
    <fill>
      <patternFill patternType="solid">
        <fgColor rgb="FFFFFF00"/>
        <bgColor indexed="64"/>
      </patternFill>
    </fill>
    <fill>
      <patternFill patternType="solid">
        <fgColor rgb="FF012A4C"/>
        <bgColor indexed="64"/>
      </patternFill>
    </fill>
    <fill>
      <patternFill patternType="solid">
        <fgColor rgb="FF005B91"/>
        <bgColor indexed="64"/>
      </patternFill>
    </fill>
    <fill>
      <patternFill patternType="solid">
        <fgColor rgb="FF009FE3"/>
        <bgColor indexed="64"/>
      </patternFill>
    </fill>
    <fill>
      <patternFill patternType="solid">
        <fgColor rgb="FF00AB84"/>
        <bgColor indexed="64"/>
      </patternFill>
    </fill>
    <fill>
      <patternFill patternType="solid">
        <fgColor rgb="FF008EA6"/>
        <bgColor indexed="64"/>
      </patternFill>
    </fill>
    <fill>
      <patternFill patternType="solid">
        <fgColor rgb="FFF7B715"/>
        <bgColor indexed="64"/>
      </patternFill>
    </fill>
    <fill>
      <patternFill patternType="solid">
        <fgColor rgb="FFE83F53"/>
        <bgColor indexed="64"/>
      </patternFill>
    </fill>
    <fill>
      <patternFill patternType="solid">
        <fgColor rgb="FF828282"/>
        <bgColor indexed="64"/>
      </patternFill>
    </fill>
    <fill>
      <patternFill patternType="solid">
        <fgColor rgb="FF002060"/>
        <bgColor indexed="64"/>
      </patternFill>
    </fill>
    <fill>
      <patternFill patternType="solid">
        <fgColor rgb="FFF7F7F7"/>
        <bgColor indexed="64"/>
      </patternFill>
    </fill>
    <fill>
      <patternFill patternType="solid">
        <fgColor rgb="FFEFEFEF"/>
        <bgColor indexed="64"/>
      </patternFill>
    </fill>
    <fill>
      <patternFill patternType="solid">
        <fgColor rgb="FFE6E6E6"/>
        <bgColor indexed="64"/>
      </patternFill>
    </fill>
    <fill>
      <patternFill patternType="solid">
        <fgColor rgb="FFD1D1D1"/>
        <bgColor indexed="64"/>
      </patternFill>
    </fill>
    <fill>
      <patternFill patternType="solid">
        <fgColor rgb="FF333333"/>
        <bgColor indexed="64"/>
      </patternFill>
    </fill>
    <fill>
      <patternFill patternType="solid">
        <fgColor theme="5" tint="0.39997558519241921"/>
        <bgColor indexed="64"/>
      </patternFill>
    </fill>
  </fills>
  <borders count="10">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s>
  <cellStyleXfs count="4">
    <xf numFmtId="0" fontId="0" fillId="0" borderId="0"/>
    <xf numFmtId="0" fontId="2" fillId="0" borderId="0" applyNumberFormat="0" applyFill="0" applyBorder="0" applyAlignment="0" applyProtection="0"/>
    <xf numFmtId="9" fontId="6" fillId="0" borderId="0" applyFont="0" applyFill="0" applyBorder="0" applyAlignment="0" applyProtection="0"/>
    <xf numFmtId="43" fontId="6" fillId="0" borderId="0" applyFont="0" applyFill="0" applyBorder="0" applyAlignment="0" applyProtection="0"/>
  </cellStyleXfs>
  <cellXfs count="147">
    <xf numFmtId="0" fontId="0" fillId="0" borderId="0" xfId="0"/>
    <xf numFmtId="0" fontId="0" fillId="2" borderId="0" xfId="0" applyFill="1"/>
    <xf numFmtId="0" fontId="0" fillId="0" borderId="0" xfId="0" applyAlignment="1">
      <alignment horizontal="center"/>
    </xf>
    <xf numFmtId="0" fontId="0" fillId="0" borderId="3" xfId="0" applyBorder="1"/>
    <xf numFmtId="0" fontId="0" fillId="0" borderId="3" xfId="0" applyBorder="1" applyAlignment="1">
      <alignment horizontal="center"/>
    </xf>
    <xf numFmtId="0" fontId="0" fillId="0" borderId="3" xfId="0" applyBorder="1" applyAlignment="1">
      <alignment wrapText="1"/>
    </xf>
    <xf numFmtId="164" fontId="0" fillId="0" borderId="0" xfId="0" applyNumberFormat="1"/>
    <xf numFmtId="0" fontId="3" fillId="0" borderId="0" xfId="0" applyFont="1" applyAlignment="1">
      <alignment horizontal="center"/>
    </xf>
    <xf numFmtId="3" fontId="0" fillId="0" borderId="0" xfId="0" applyNumberFormat="1" applyAlignment="1">
      <alignment horizontal="center"/>
    </xf>
    <xf numFmtId="0" fontId="0" fillId="0" borderId="4" xfId="0" applyBorder="1"/>
    <xf numFmtId="0" fontId="0" fillId="0" borderId="4" xfId="0" applyBorder="1" applyAlignment="1">
      <alignment horizontal="center"/>
    </xf>
    <xf numFmtId="0" fontId="3" fillId="0" borderId="4" xfId="0" applyFont="1" applyBorder="1" applyAlignment="1">
      <alignment horizontal="center"/>
    </xf>
    <xf numFmtId="164" fontId="0" fillId="0" borderId="4" xfId="0" applyNumberFormat="1" applyBorder="1"/>
    <xf numFmtId="0" fontId="2" fillId="0" borderId="4" xfId="1" applyFill="1" applyBorder="1"/>
    <xf numFmtId="1" fontId="0" fillId="0" borderId="4" xfId="2" applyNumberFormat="1" applyFont="1" applyFill="1" applyBorder="1" applyAlignment="1">
      <alignment horizontal="center"/>
    </xf>
    <xf numFmtId="0" fontId="0" fillId="0" borderId="8" xfId="0" applyBorder="1" applyAlignment="1">
      <alignment horizontal="center"/>
    </xf>
    <xf numFmtId="9" fontId="0" fillId="0" borderId="0" xfId="0" applyNumberFormat="1"/>
    <xf numFmtId="1" fontId="0" fillId="0" borderId="4" xfId="2" applyNumberFormat="1" applyFont="1" applyBorder="1" applyAlignment="1">
      <alignment horizontal="center"/>
    </xf>
    <xf numFmtId="9" fontId="0" fillId="0" borderId="4" xfId="0" applyNumberFormat="1" applyBorder="1" applyAlignment="1">
      <alignment horizontal="center"/>
    </xf>
    <xf numFmtId="1" fontId="0" fillId="0" borderId="0" xfId="2" applyNumberFormat="1" applyFont="1" applyBorder="1" applyAlignment="1">
      <alignment horizontal="center"/>
    </xf>
    <xf numFmtId="0" fontId="5" fillId="0" borderId="4" xfId="1" applyFont="1" applyFill="1" applyBorder="1" applyAlignment="1">
      <alignment horizontal="center"/>
    </xf>
    <xf numFmtId="0" fontId="0" fillId="0" borderId="4" xfId="0" applyBorder="1" applyAlignment="1">
      <alignment horizontal="left"/>
    </xf>
    <xf numFmtId="0" fontId="0" fillId="0" borderId="0" xfId="0" applyAlignment="1">
      <alignment horizontal="center" wrapText="1"/>
    </xf>
    <xf numFmtId="1" fontId="6" fillId="0" borderId="4" xfId="2" applyNumberFormat="1" applyFont="1" applyBorder="1" applyAlignment="1">
      <alignment horizontal="center"/>
    </xf>
    <xf numFmtId="1" fontId="6" fillId="0" borderId="4" xfId="2" applyNumberFormat="1" applyFont="1" applyFill="1" applyBorder="1" applyAlignment="1">
      <alignment horizontal="center"/>
    </xf>
    <xf numFmtId="0" fontId="3" fillId="0" borderId="0" xfId="0" applyFont="1"/>
    <xf numFmtId="0" fontId="5" fillId="0" borderId="4" xfId="0" applyFont="1" applyBorder="1" applyAlignment="1">
      <alignment horizontal="center"/>
    </xf>
    <xf numFmtId="0" fontId="5" fillId="0" borderId="0" xfId="0" applyFont="1" applyAlignment="1">
      <alignment horizontal="center"/>
    </xf>
    <xf numFmtId="0" fontId="3" fillId="0" borderId="4" xfId="0" applyFont="1" applyBorder="1" applyAlignment="1">
      <alignment horizontal="left"/>
    </xf>
    <xf numFmtId="1" fontId="5" fillId="0" borderId="4" xfId="2" applyNumberFormat="1" applyFont="1" applyFill="1" applyBorder="1" applyAlignment="1">
      <alignment horizontal="center"/>
    </xf>
    <xf numFmtId="0" fontId="5" fillId="0" borderId="4" xfId="0" applyFont="1" applyBorder="1" applyAlignment="1">
      <alignment horizontal="left"/>
    </xf>
    <xf numFmtId="1" fontId="3" fillId="0" borderId="4" xfId="2" applyNumberFormat="1" applyFont="1" applyBorder="1" applyAlignment="1">
      <alignment horizontal="center"/>
    </xf>
    <xf numFmtId="1" fontId="3" fillId="0" borderId="4" xfId="2" applyNumberFormat="1" applyFont="1" applyFill="1" applyBorder="1" applyAlignment="1">
      <alignment horizontal="center"/>
    </xf>
    <xf numFmtId="0" fontId="3" fillId="0" borderId="8" xfId="0" applyFont="1" applyBorder="1" applyAlignment="1">
      <alignment horizontal="center"/>
    </xf>
    <xf numFmtId="0" fontId="0" fillId="0" borderId="0" xfId="0" applyAlignment="1">
      <alignment wrapText="1"/>
    </xf>
    <xf numFmtId="0" fontId="2" fillId="0" borderId="0" xfId="1" applyFill="1" applyBorder="1" applyAlignment="1">
      <alignment wrapText="1"/>
    </xf>
    <xf numFmtId="43" fontId="0" fillId="0" borderId="4" xfId="3" applyFont="1" applyBorder="1"/>
    <xf numFmtId="43" fontId="5" fillId="0" borderId="4" xfId="3" applyFont="1" applyBorder="1"/>
    <xf numFmtId="43" fontId="3" fillId="0" borderId="4" xfId="3" applyFont="1" applyBorder="1"/>
    <xf numFmtId="43" fontId="0" fillId="0" borderId="4" xfId="3" applyFont="1" applyFill="1" applyBorder="1"/>
    <xf numFmtId="43" fontId="3" fillId="0" borderId="4" xfId="3" applyFont="1" applyFill="1" applyBorder="1"/>
    <xf numFmtId="43" fontId="5" fillId="0" borderId="4" xfId="3" applyFont="1" applyFill="1" applyBorder="1"/>
    <xf numFmtId="1" fontId="5" fillId="0" borderId="8" xfId="2" applyNumberFormat="1" applyFont="1" applyFill="1" applyBorder="1" applyAlignment="1">
      <alignment horizontal="center"/>
    </xf>
    <xf numFmtId="1" fontId="0" fillId="0" borderId="8" xfId="2" applyNumberFormat="1" applyFont="1" applyBorder="1" applyAlignment="1">
      <alignment horizontal="center"/>
    </xf>
    <xf numFmtId="0" fontId="0" fillId="0" borderId="6" xfId="0" applyBorder="1"/>
    <xf numFmtId="0" fontId="0" fillId="0" borderId="7" xfId="0" applyBorder="1" applyAlignment="1">
      <alignment horizontal="center"/>
    </xf>
    <xf numFmtId="0" fontId="3" fillId="0" borderId="7" xfId="0" applyFont="1" applyBorder="1" applyAlignment="1">
      <alignment horizontal="center"/>
    </xf>
    <xf numFmtId="0" fontId="5" fillId="0" borderId="7" xfId="0" applyFont="1" applyBorder="1" applyAlignment="1">
      <alignment horizontal="center"/>
    </xf>
    <xf numFmtId="0" fontId="5" fillId="0" borderId="0" xfId="1" applyFont="1" applyFill="1" applyBorder="1" applyAlignment="1">
      <alignment horizontal="center"/>
    </xf>
    <xf numFmtId="49" fontId="2" fillId="0" borderId="4" xfId="1" applyNumberFormat="1" applyBorder="1" applyAlignment="1">
      <alignment wrapText="1"/>
    </xf>
    <xf numFmtId="49" fontId="2" fillId="0" borderId="4" xfId="1" applyNumberFormat="1" applyFill="1" applyBorder="1" applyAlignment="1">
      <alignment wrapText="1"/>
    </xf>
    <xf numFmtId="0" fontId="0" fillId="3" borderId="0" xfId="0" applyFill="1"/>
    <xf numFmtId="0" fontId="0" fillId="4" borderId="0" xfId="0" applyFill="1"/>
    <xf numFmtId="0" fontId="0" fillId="5" borderId="0" xfId="0" applyFill="1"/>
    <xf numFmtId="0" fontId="0" fillId="6" borderId="0" xfId="0" applyFill="1"/>
    <xf numFmtId="0" fontId="0" fillId="7" borderId="0" xfId="0" applyFill="1"/>
    <xf numFmtId="0" fontId="0" fillId="8" borderId="0" xfId="0" applyFill="1"/>
    <xf numFmtId="0" fontId="0" fillId="9" borderId="0" xfId="0" applyFill="1"/>
    <xf numFmtId="0" fontId="0" fillId="10" borderId="0" xfId="0" applyFill="1"/>
    <xf numFmtId="9" fontId="0" fillId="0" borderId="0" xfId="2" applyFont="1" applyAlignment="1">
      <alignment horizontal="center"/>
    </xf>
    <xf numFmtId="14" fontId="0" fillId="0" borderId="3" xfId="0" applyNumberFormat="1" applyBorder="1" applyAlignment="1">
      <alignment horizontal="center"/>
    </xf>
    <xf numFmtId="3" fontId="0" fillId="0" borderId="3" xfId="0" applyNumberFormat="1" applyBorder="1" applyAlignment="1">
      <alignment horizontal="center"/>
    </xf>
    <xf numFmtId="0" fontId="4" fillId="11" borderId="0" xfId="0" applyFont="1" applyFill="1" applyAlignment="1">
      <alignment vertical="center" wrapText="1"/>
    </xf>
    <xf numFmtId="3" fontId="4" fillId="11" borderId="0" xfId="0" applyNumberFormat="1" applyFont="1" applyFill="1" applyAlignment="1">
      <alignment vertical="center" wrapText="1"/>
    </xf>
    <xf numFmtId="165" fontId="0" fillId="0" borderId="0" xfId="0" applyNumberFormat="1"/>
    <xf numFmtId="14" fontId="5" fillId="0" borderId="3" xfId="0" applyNumberFormat="1" applyFont="1" applyBorder="1" applyAlignment="1">
      <alignment horizontal="center"/>
    </xf>
    <xf numFmtId="14" fontId="3" fillId="0" borderId="3" xfId="0" applyNumberFormat="1" applyFont="1" applyBorder="1" applyAlignment="1">
      <alignment horizontal="center"/>
    </xf>
    <xf numFmtId="3" fontId="5" fillId="0" borderId="3" xfId="0" applyNumberFormat="1" applyFont="1" applyBorder="1" applyAlignment="1">
      <alignment horizontal="center"/>
    </xf>
    <xf numFmtId="3" fontId="3" fillId="0" borderId="3" xfId="0" applyNumberFormat="1" applyFont="1" applyBorder="1" applyAlignment="1">
      <alignment horizontal="center"/>
    </xf>
    <xf numFmtId="43" fontId="0" fillId="0" borderId="3" xfId="3" applyFont="1" applyBorder="1"/>
    <xf numFmtId="43" fontId="5" fillId="0" borderId="3" xfId="3" applyFont="1" applyBorder="1"/>
    <xf numFmtId="43" fontId="3" fillId="0" borderId="3" xfId="3" applyFont="1" applyBorder="1"/>
    <xf numFmtId="43" fontId="0" fillId="0" borderId="3" xfId="3" applyFont="1" applyFill="1" applyBorder="1"/>
    <xf numFmtId="43" fontId="3" fillId="0" borderId="3" xfId="3" applyFont="1" applyFill="1" applyBorder="1"/>
    <xf numFmtId="0" fontId="5" fillId="0" borderId="3" xfId="0" applyFont="1" applyBorder="1" applyAlignment="1">
      <alignment horizontal="center"/>
    </xf>
    <xf numFmtId="0" fontId="3" fillId="0" borderId="3" xfId="0" applyFont="1" applyBorder="1" applyAlignment="1">
      <alignment horizontal="center"/>
    </xf>
    <xf numFmtId="164" fontId="0" fillId="0" borderId="4" xfId="0" applyNumberFormat="1" applyBorder="1" applyAlignment="1">
      <alignment horizontal="center"/>
    </xf>
    <xf numFmtId="164" fontId="5" fillId="0" borderId="4" xfId="0" applyNumberFormat="1" applyFont="1" applyBorder="1" applyAlignment="1">
      <alignment horizontal="center"/>
    </xf>
    <xf numFmtId="164" fontId="3" fillId="0" borderId="4" xfId="0" applyNumberFormat="1" applyFont="1" applyBorder="1" applyAlignment="1">
      <alignment horizontal="center"/>
    </xf>
    <xf numFmtId="9" fontId="2" fillId="0" borderId="4" xfId="1" applyNumberFormat="1" applyFill="1" applyBorder="1"/>
    <xf numFmtId="9" fontId="0" fillId="0" borderId="4" xfId="2" applyFont="1" applyFill="1" applyBorder="1" applyAlignment="1">
      <alignment horizontal="center"/>
    </xf>
    <xf numFmtId="1" fontId="0" fillId="0" borderId="8" xfId="2" applyNumberFormat="1" applyFont="1" applyFill="1" applyBorder="1" applyAlignment="1">
      <alignment horizontal="center"/>
    </xf>
    <xf numFmtId="0" fontId="2" fillId="0" borderId="3" xfId="1" applyFill="1" applyBorder="1" applyAlignment="1">
      <alignment horizontal="center" wrapText="1"/>
    </xf>
    <xf numFmtId="14" fontId="0" fillId="0" borderId="6" xfId="0" applyNumberFormat="1" applyBorder="1" applyAlignment="1">
      <alignment horizontal="center"/>
    </xf>
    <xf numFmtId="3" fontId="0" fillId="0" borderId="6" xfId="0" applyNumberFormat="1" applyBorder="1" applyAlignment="1">
      <alignment horizontal="center"/>
    </xf>
    <xf numFmtId="43" fontId="0" fillId="0" borderId="6" xfId="3" applyFont="1" applyBorder="1"/>
    <xf numFmtId="0" fontId="0" fillId="0" borderId="6" xfId="0" applyBorder="1" applyAlignment="1">
      <alignment horizontal="center"/>
    </xf>
    <xf numFmtId="0" fontId="2" fillId="0" borderId="6" xfId="1" applyFill="1" applyBorder="1" applyAlignment="1">
      <alignment horizontal="center" wrapText="1"/>
    </xf>
    <xf numFmtId="0" fontId="0" fillId="12" borderId="0" xfId="0" applyFill="1"/>
    <xf numFmtId="0" fontId="0" fillId="13" borderId="0" xfId="0" applyFill="1"/>
    <xf numFmtId="0" fontId="0" fillId="14" borderId="0" xfId="0" applyFill="1"/>
    <xf numFmtId="0" fontId="0" fillId="15" borderId="0" xfId="0" applyFill="1"/>
    <xf numFmtId="0" fontId="0" fillId="16" borderId="0" xfId="0" applyFill="1"/>
    <xf numFmtId="9" fontId="0" fillId="0" borderId="0" xfId="2" applyFont="1" applyFill="1" applyBorder="1" applyAlignment="1">
      <alignment horizontal="center"/>
    </xf>
    <xf numFmtId="0" fontId="7" fillId="0" borderId="0" xfId="0" applyFont="1"/>
    <xf numFmtId="0" fontId="10" fillId="0" borderId="0" xfId="0" applyFont="1"/>
    <xf numFmtId="0" fontId="1" fillId="0" borderId="1" xfId="0" applyFont="1" applyBorder="1" applyAlignment="1">
      <alignment horizontal="center" vertical="top" wrapText="1"/>
    </xf>
    <xf numFmtId="9" fontId="0" fillId="0" borderId="0" xfId="2" applyFont="1"/>
    <xf numFmtId="1" fontId="0" fillId="0" borderId="8" xfId="0" applyNumberFormat="1" applyBorder="1" applyAlignment="1">
      <alignment horizontal="center"/>
    </xf>
    <xf numFmtId="1" fontId="3" fillId="0" borderId="8" xfId="0" applyNumberFormat="1" applyFont="1" applyBorder="1" applyAlignment="1">
      <alignment horizontal="center"/>
    </xf>
    <xf numFmtId="0" fontId="0" fillId="17" borderId="0" xfId="0" applyFill="1"/>
    <xf numFmtId="0" fontId="1" fillId="0" borderId="0" xfId="0" applyFont="1" applyAlignment="1">
      <alignment horizontal="center" vertical="top" wrapText="1"/>
    </xf>
    <xf numFmtId="0" fontId="4" fillId="11" borderId="3" xfId="0" applyFont="1" applyFill="1" applyBorder="1" applyAlignment="1">
      <alignment vertical="center" wrapText="1"/>
    </xf>
    <xf numFmtId="0" fontId="0" fillId="0" borderId="3" xfId="0" applyBorder="1" applyAlignment="1">
      <alignment horizontal="center" vertical="center" wrapText="1"/>
    </xf>
    <xf numFmtId="0" fontId="0" fillId="0" borderId="3" xfId="0" applyBorder="1" applyAlignment="1">
      <alignment horizontal="left"/>
    </xf>
    <xf numFmtId="9" fontId="0" fillId="0" borderId="3" xfId="2" applyFont="1" applyBorder="1" applyAlignment="1">
      <alignment horizontal="center"/>
    </xf>
    <xf numFmtId="0" fontId="0" fillId="0" borderId="3" xfId="0" applyBorder="1" applyAlignment="1">
      <alignment vertical="center" wrapText="1"/>
    </xf>
    <xf numFmtId="1" fontId="0" fillId="0" borderId="3" xfId="0" applyNumberFormat="1" applyBorder="1"/>
    <xf numFmtId="164" fontId="0" fillId="0" borderId="3" xfId="0" applyNumberFormat="1" applyBorder="1"/>
    <xf numFmtId="9" fontId="0" fillId="0" borderId="3" xfId="2" applyFont="1" applyFill="1" applyBorder="1" applyAlignment="1">
      <alignment horizontal="center"/>
    </xf>
    <xf numFmtId="43" fontId="0" fillId="0" borderId="3" xfId="0" applyNumberFormat="1" applyBorder="1"/>
    <xf numFmtId="9" fontId="0" fillId="0" borderId="3" xfId="2" applyFont="1" applyBorder="1"/>
    <xf numFmtId="9" fontId="0" fillId="0" borderId="3" xfId="0" applyNumberFormat="1" applyBorder="1"/>
    <xf numFmtId="0" fontId="0" fillId="0" borderId="5" xfId="0" applyBorder="1"/>
    <xf numFmtId="9" fontId="0" fillId="0" borderId="3" xfId="2" applyFont="1" applyBorder="1" applyAlignment="1">
      <alignment wrapText="1"/>
    </xf>
    <xf numFmtId="1" fontId="0" fillId="0" borderId="3" xfId="2" applyNumberFormat="1" applyFont="1" applyBorder="1" applyAlignment="1">
      <alignment horizontal="center"/>
    </xf>
    <xf numFmtId="1" fontId="0" fillId="0" borderId="3" xfId="0" applyNumberFormat="1" applyBorder="1" applyAlignment="1">
      <alignment wrapText="1"/>
    </xf>
    <xf numFmtId="0" fontId="8" fillId="0" borderId="0" xfId="0" applyFont="1" applyAlignment="1">
      <alignment vertical="center" wrapText="1"/>
    </xf>
    <xf numFmtId="9" fontId="0" fillId="0" borderId="3" xfId="0" applyNumberFormat="1" applyBorder="1" applyAlignment="1">
      <alignment wrapText="1"/>
    </xf>
    <xf numFmtId="0" fontId="11" fillId="0" borderId="0" xfId="0" applyFont="1"/>
    <xf numFmtId="0" fontId="0" fillId="0" borderId="3" xfId="0" applyBorder="1" applyAlignment="1">
      <alignment horizontal="left" wrapText="1"/>
    </xf>
    <xf numFmtId="0" fontId="1" fillId="0" borderId="9" xfId="0" applyFont="1" applyBorder="1" applyAlignment="1">
      <alignment horizontal="center" vertical="top" wrapText="1"/>
    </xf>
    <xf numFmtId="1" fontId="0" fillId="0" borderId="6" xfId="0" applyNumberFormat="1" applyBorder="1" applyAlignment="1">
      <alignment horizontal="center"/>
    </xf>
    <xf numFmtId="1" fontId="0" fillId="0" borderId="4" xfId="0" applyNumberFormat="1" applyBorder="1" applyAlignment="1">
      <alignment horizontal="center"/>
    </xf>
    <xf numFmtId="1" fontId="3" fillId="0" borderId="4" xfId="0" applyNumberFormat="1" applyFont="1" applyBorder="1" applyAlignment="1">
      <alignment horizontal="center"/>
    </xf>
    <xf numFmtId="1" fontId="5" fillId="0" borderId="4" xfId="0" applyNumberFormat="1" applyFont="1" applyBorder="1" applyAlignment="1">
      <alignment horizontal="center"/>
    </xf>
    <xf numFmtId="1" fontId="0" fillId="0" borderId="5" xfId="0" applyNumberFormat="1" applyBorder="1" applyAlignment="1">
      <alignment horizontal="center"/>
    </xf>
    <xf numFmtId="1" fontId="6" fillId="0" borderId="8" xfId="2" applyNumberFormat="1" applyFont="1" applyBorder="1" applyAlignment="1">
      <alignment horizontal="center"/>
    </xf>
    <xf numFmtId="1" fontId="3" fillId="0" borderId="8" xfId="2" applyNumberFormat="1" applyFont="1" applyFill="1" applyBorder="1" applyAlignment="1">
      <alignment horizontal="center"/>
    </xf>
    <xf numFmtId="1" fontId="3" fillId="0" borderId="8" xfId="2" applyNumberFormat="1" applyFont="1" applyBorder="1" applyAlignment="1">
      <alignment horizontal="center"/>
    </xf>
    <xf numFmtId="0" fontId="0" fillId="0" borderId="5" xfId="0" applyBorder="1" applyAlignment="1">
      <alignment horizontal="left" wrapText="1"/>
    </xf>
    <xf numFmtId="166" fontId="0" fillId="0" borderId="0" xfId="0" applyNumberFormat="1"/>
    <xf numFmtId="43" fontId="5" fillId="0" borderId="4" xfId="0" applyNumberFormat="1" applyFont="1" applyBorder="1"/>
    <xf numFmtId="49" fontId="2" fillId="0" borderId="4" xfId="0" applyNumberFormat="1" applyFont="1" applyBorder="1" applyAlignment="1">
      <alignment wrapText="1"/>
    </xf>
    <xf numFmtId="0" fontId="2" fillId="0" borderId="0" xfId="0" applyFont="1" applyAlignment="1">
      <alignment wrapText="1"/>
    </xf>
    <xf numFmtId="0" fontId="2" fillId="0" borderId="4" xfId="0" applyFont="1" applyBorder="1"/>
    <xf numFmtId="0" fontId="2" fillId="0" borderId="6" xfId="0" applyFont="1" applyBorder="1" applyAlignment="1">
      <alignment horizontal="center" wrapText="1"/>
    </xf>
    <xf numFmtId="43" fontId="0" fillId="0" borderId="4" xfId="0" applyNumberFormat="1" applyBorder="1"/>
    <xf numFmtId="43" fontId="0" fillId="0" borderId="6" xfId="0" applyNumberFormat="1" applyBorder="1"/>
    <xf numFmtId="2" fontId="0" fillId="0" borderId="7" xfId="2" applyNumberFormat="1" applyFont="1" applyFill="1" applyBorder="1"/>
    <xf numFmtId="0" fontId="8" fillId="3" borderId="0" xfId="0" applyFont="1" applyFill="1" applyAlignment="1">
      <alignment horizontal="center" vertical="center" wrapText="1"/>
    </xf>
    <xf numFmtId="0" fontId="8" fillId="3" borderId="0" xfId="0" applyFont="1" applyFill="1" applyAlignment="1">
      <alignment horizontal="center" vertical="center"/>
    </xf>
    <xf numFmtId="0" fontId="9" fillId="3" borderId="0" xfId="0" applyFont="1" applyFill="1" applyAlignment="1">
      <alignment horizontal="center" vertical="center" wrapText="1"/>
    </xf>
    <xf numFmtId="0" fontId="0" fillId="0" borderId="3" xfId="0" applyBorder="1" applyAlignment="1">
      <alignment horizontal="center" wrapText="1"/>
    </xf>
    <xf numFmtId="0" fontId="0" fillId="0" borderId="3" xfId="0" applyBorder="1" applyAlignment="1">
      <alignment horizontal="center"/>
    </xf>
    <xf numFmtId="0" fontId="0" fillId="0" borderId="1" xfId="0" applyBorder="1" applyAlignment="1">
      <alignment horizontal="center" wrapText="1"/>
    </xf>
    <xf numFmtId="0" fontId="0" fillId="0" borderId="2" xfId="0" applyBorder="1" applyAlignment="1">
      <alignment horizontal="center" wrapText="1"/>
    </xf>
  </cellXfs>
  <cellStyles count="4">
    <cellStyle name="Hyperkobling" xfId="1" builtinId="8"/>
    <cellStyle name="Komma" xfId="3" builtinId="3"/>
    <cellStyle name="Normal" xfId="0" builtinId="0"/>
    <cellStyle name="Prosent" xfId="2" builtinId="5"/>
  </cellStyles>
  <dxfs count="154">
    <dxf>
      <fill>
        <patternFill patternType="none">
          <fgColor indexed="64"/>
          <bgColor indexed="65"/>
        </patternFill>
      </fill>
      <alignment horizontal="left" vertical="bottom" textRotation="0" wrapText="0"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alignment horizontal="left" vertical="bottom" textRotation="0" wrapText="0"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ertAlign val="baseline"/>
        <sz val="11"/>
        <color theme="10"/>
        <name val="Calibri"/>
        <family val="2"/>
        <scheme val="minor"/>
      </font>
      <fill>
        <patternFill patternType="none">
          <fgColor indexed="64"/>
          <bgColor indexed="65"/>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border>
    </dxf>
    <dxf>
      <fill>
        <patternFill patternType="none">
          <fgColor indexed="64"/>
          <bgColor indexed="65"/>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u val="none"/>
        <color auto="1"/>
      </font>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u val="none"/>
        <color auto="1"/>
      </font>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u val="none"/>
        <color auto="1"/>
      </font>
      <fill>
        <patternFill patternType="none">
          <fgColor indexed="64"/>
          <bgColor indexed="65"/>
        </patternFill>
      </fill>
      <alignment horizontal="center" vertical="bottom" textRotation="0" wrapText="0" indent="0" justifyLastLine="0" shrinkToFit="0" readingOrder="0"/>
    </dxf>
    <dxf>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u val="none"/>
        <color auto="1"/>
      </font>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top/>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alignment horizontal="center" vertical="bottom" textRotation="0" wrapText="0" indent="0" justifyLastLine="0" shrinkToFit="0" readingOrder="0"/>
      <border diagonalUp="0" diagonalDown="0">
        <left style="thin">
          <color indexed="64"/>
        </left>
        <right style="thin">
          <color indexed="64"/>
        </right>
        <top/>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alignment horizontal="center" vertical="bottom" textRotation="0" wrapText="0" indent="0" justifyLastLine="0" shrinkToFit="0" readingOrder="0"/>
      <border diagonalUp="0" diagonalDown="0">
        <left style="thin">
          <color indexed="64"/>
        </left>
        <right style="thin">
          <color indexed="64"/>
        </right>
        <top/>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alignment horizontal="center" vertical="bottom" textRotation="0" wrapText="0" indent="0" justifyLastLine="0" shrinkToFit="0" readingOrder="0"/>
      <border diagonalUp="0" diagonalDown="0">
        <left style="thin">
          <color indexed="64"/>
        </left>
        <right style="thin">
          <color indexed="64"/>
        </right>
        <top/>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alignment horizontal="center" vertical="bottom" textRotation="0" wrapText="0" indent="0" justifyLastLine="0" shrinkToFit="0" readingOrder="0"/>
      <border diagonalUp="0" diagonalDown="0">
        <left style="thin">
          <color indexed="64"/>
        </left>
        <right style="thin">
          <color indexed="64"/>
        </right>
        <top/>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alignment horizontal="center" vertical="bottom" textRotation="0" wrapText="0" indent="0" justifyLastLine="0" shrinkToFit="0" readingOrder="0"/>
      <border diagonalUp="0" diagonalDown="0">
        <left style="thin">
          <color indexed="64"/>
        </left>
        <right style="thin">
          <color indexed="64"/>
        </right>
        <top/>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alignment horizontal="center" vertical="bottom" textRotation="0" wrapText="0" indent="0" justifyLastLine="0" shrinkToFit="0" readingOrder="0"/>
      <border diagonalUp="0" diagonalDown="0">
        <left style="thin">
          <color indexed="64"/>
        </left>
        <right style="thin">
          <color indexed="64"/>
        </right>
        <top/>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alignment horizontal="center" vertical="bottom" textRotation="0" wrapText="0" indent="0" justifyLastLine="0" shrinkToFit="0" readingOrder="0"/>
      <border diagonalUp="0" diagonalDown="0">
        <left style="thin">
          <color indexed="64"/>
        </left>
        <right style="thin">
          <color indexed="64"/>
        </right>
        <top/>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alignment horizontal="center" vertical="bottom" textRotation="0" wrapText="0" indent="0" justifyLastLine="0" shrinkToFit="0" readingOrder="0"/>
      <border diagonalUp="0" diagonalDown="0">
        <left style="thin">
          <color indexed="64"/>
        </left>
        <right style="thin">
          <color indexed="64"/>
        </right>
        <top/>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alignment horizontal="center" vertical="bottom" textRotation="0" wrapText="0" indent="0" justifyLastLine="0" shrinkToFit="0" readingOrder="0"/>
      <border diagonalUp="0" diagonalDown="0">
        <left style="thin">
          <color indexed="64"/>
        </left>
        <right style="thin">
          <color indexed="64"/>
        </right>
        <top/>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alignment horizontal="center" vertical="bottom" textRotation="0" wrapText="0" indent="0" justifyLastLine="0" shrinkToFit="0" readingOrder="0"/>
      <border diagonalUp="0" diagonalDown="0">
        <left style="thin">
          <color indexed="64"/>
        </left>
        <right style="thin">
          <color indexed="64"/>
        </right>
        <top/>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alignment horizontal="center" vertical="bottom" textRotation="0" wrapText="0" indent="0" justifyLastLine="0" shrinkToFit="0" readingOrder="0"/>
      <border diagonalUp="0" diagonalDown="0">
        <left style="thin">
          <color indexed="64"/>
        </left>
        <right style="thin">
          <color indexed="64"/>
        </right>
        <top/>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alignment horizontal="center" vertical="bottom" textRotation="0" wrapText="0" indent="0" justifyLastLine="0" shrinkToFit="0" readingOrder="0"/>
      <border diagonalUp="0" diagonalDown="0">
        <left style="thin">
          <color indexed="64"/>
        </left>
        <right style="thin">
          <color indexed="64"/>
        </right>
        <top/>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alignment horizontal="center" vertical="bottom" textRotation="0" wrapText="0" indent="0" justifyLastLine="0" shrinkToFit="0" readingOrder="0"/>
      <border diagonalUp="0" diagonalDown="0">
        <left style="thin">
          <color indexed="64"/>
        </left>
        <right style="thin">
          <color indexed="64"/>
        </right>
        <top/>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alignment horizontal="center" vertical="bottom" textRotation="0" wrapText="0" indent="0" justifyLastLine="0" shrinkToFit="0" readingOrder="0"/>
      <border diagonalUp="0" diagonalDown="0">
        <left style="thin">
          <color indexed="64"/>
        </left>
        <right style="thin">
          <color indexed="64"/>
        </right>
        <top/>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alignment horizontal="center" vertical="bottom" textRotation="0" wrapText="0" indent="0" justifyLastLine="0" shrinkToFit="0" readingOrder="0"/>
      <border diagonalUp="0" diagonalDown="0">
        <left style="thin">
          <color indexed="64"/>
        </left>
        <right style="thin">
          <color indexed="64"/>
        </right>
        <top/>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alignment horizontal="center" vertical="bottom" textRotation="0" wrapText="0" indent="0" justifyLastLine="0" shrinkToFit="0" readingOrder="0"/>
      <border diagonalUp="0" diagonalDown="0">
        <left style="thin">
          <color indexed="64"/>
        </left>
        <right style="thin">
          <color indexed="64"/>
        </right>
        <top/>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alignment horizontal="center" vertical="bottom" textRotation="0" wrapText="0" indent="0" justifyLastLine="0" shrinkToFit="0" readingOrder="0"/>
    </dxf>
    <dxf>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alignment horizontal="center" vertical="bottom" textRotation="0" wrapText="0" indent="0" justifyLastLine="0" shrinkToFit="0" readingOrder="0"/>
      <border diagonalUp="0" diagonalDown="0">
        <left style="thin">
          <color indexed="64"/>
        </left>
        <right style="thin">
          <color indexed="64"/>
        </right>
        <top/>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alignment horizontal="center" vertical="bottom" textRotation="0" wrapText="0" indent="0" justifyLastLine="0" shrinkToFit="0" readingOrder="0"/>
      <border diagonalUp="0" diagonalDown="0">
        <left style="thin">
          <color indexed="64"/>
        </left>
        <right style="thin">
          <color indexed="64"/>
        </right>
        <top/>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alignment horizontal="center" vertical="bottom" textRotation="0" wrapText="0" indent="0" justifyLastLine="0" shrinkToFit="0" readingOrder="0"/>
      <border diagonalUp="0" diagonalDown="0">
        <left style="thin">
          <color indexed="64"/>
        </left>
        <right style="thin">
          <color indexed="64"/>
        </right>
        <top/>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alignment horizontal="center" vertical="bottom" textRotation="0" wrapText="0" indent="0" justifyLastLine="0" shrinkToFit="0" readingOrder="0"/>
      <border diagonalUp="0" diagonalDown="0">
        <left style="thin">
          <color indexed="64"/>
        </left>
        <right style="thin">
          <color indexed="64"/>
        </right>
        <top/>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alignment horizontal="center" vertical="bottom" textRotation="0" wrapText="0" indent="0" justifyLastLine="0" shrinkToFit="0" readingOrder="0"/>
      <border diagonalUp="0" diagonalDown="0">
        <left style="thin">
          <color indexed="64"/>
        </left>
        <right style="thin">
          <color indexed="64"/>
        </right>
        <top/>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alignment horizontal="center" vertical="bottom" textRotation="0" wrapText="0" indent="0" justifyLastLine="0" shrinkToFit="0" readingOrder="0"/>
      <border diagonalUp="0" diagonalDown="0">
        <left/>
        <right style="thin">
          <color indexed="64"/>
        </right>
        <top/>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alignment horizontal="center" vertical="bottom" textRotation="0" wrapText="0" indent="0" justifyLastLine="0" shrinkToFit="0" readingOrder="0"/>
      <border diagonalUp="0" diagonalDown="0">
        <left/>
        <right style="thin">
          <color indexed="64"/>
        </right>
        <top/>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alignment horizontal="center" vertical="bottom" textRotation="0" wrapText="0" indent="0" justifyLastLine="0" shrinkToFit="0" readingOrder="0"/>
      <border diagonalUp="0" diagonalDown="0">
        <left/>
        <right style="thin">
          <color indexed="64"/>
        </right>
        <top/>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alignment horizontal="center" vertical="bottom" textRotation="0" wrapText="0" indent="0" justifyLastLine="0" shrinkToFit="0" readingOrder="0"/>
      <border diagonalUp="0" diagonalDown="0">
        <left/>
        <right style="thin">
          <color indexed="64"/>
        </right>
        <top/>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alignment horizontal="center" vertical="bottom" textRotation="0" wrapText="0" indent="0" justifyLastLine="0" shrinkToFit="0" readingOrder="0"/>
      <border diagonalUp="0" diagonalDown="0">
        <left/>
        <right style="thin">
          <color indexed="64"/>
        </right>
        <top/>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numFmt numFmtId="1" formatCode="0"/>
      <fill>
        <patternFill patternType="none">
          <fgColor indexed="64"/>
          <bgColor indexed="65"/>
        </patternFill>
      </fill>
      <alignment horizontal="center" vertical="bottom" textRotation="0" wrapText="0" indent="0" justifyLastLine="0" shrinkToFit="0" readingOrder="0"/>
      <border diagonalUp="0" diagonalDown="0" outline="0">
        <left/>
        <right style="thin">
          <color indexed="64"/>
        </right>
        <top/>
        <bottom/>
      </border>
    </dxf>
    <dxf>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alignment horizontal="center" vertical="bottom" textRotation="0" wrapText="0" indent="0" justifyLastLine="0" shrinkToFit="0" readingOrder="0"/>
    </dxf>
    <dxf>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alignment horizontal="center" vertical="bottom" textRotation="0" wrapText="0" indent="0" justifyLastLine="0" shrinkToFit="0" readingOrder="0"/>
      <border diagonalUp="0" diagonalDown="0">
        <left/>
        <right style="thin">
          <color indexed="64"/>
        </right>
        <top/>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alignment horizontal="center" vertical="bottom" textRotation="0" wrapText="0" indent="0" justifyLastLine="0" shrinkToFit="0" readingOrder="0"/>
      <border diagonalUp="0" diagonalDown="0">
        <left/>
        <right style="thin">
          <color indexed="64"/>
        </right>
        <top/>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bottom/>
        <vertical/>
        <horizontal/>
      </border>
    </dxf>
    <dxf>
      <alignment horizontal="center" vertical="bottom" textRotation="0" wrapText="0" indent="0" justifyLastLine="0" shrinkToFit="0" readingOrder="0"/>
      <border diagonalUp="0" diagonalDown="0" outline="0">
        <left style="thin">
          <color indexed="64"/>
        </left>
        <right style="thin">
          <color indexed="64"/>
        </right>
        <top/>
        <bottom/>
      </border>
    </dxf>
    <dxf>
      <alignment horizontal="center" vertical="bottom" textRotation="0" wrapText="0"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11"/>
        <color theme="1"/>
        <name val="Calibri"/>
        <family val="2"/>
        <scheme val="minor"/>
      </font>
      <numFmt numFmtId="1" formatCode="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numFmt numFmtId="1" formatCode="0"/>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bottom/>
        <vertical/>
        <horizontal/>
      </border>
    </dxf>
    <dxf>
      <alignment horizontal="center" vertical="bottom" textRotation="0" wrapText="0" indent="0" justifyLastLine="0" shrinkToFit="0" readingOrder="0"/>
      <border diagonalUp="0" diagonalDown="0" outline="0">
        <left style="thin">
          <color indexed="64"/>
        </left>
        <right style="thin">
          <color indexed="64"/>
        </right>
        <top/>
        <bottom/>
      </border>
    </dxf>
    <dxf>
      <alignment horizontal="center" vertical="bottom" textRotation="0" wrapText="0" indent="0" justifyLastLine="0" shrinkToFit="0" readingOrder="0"/>
      <border diagonalUp="0" diagonalDown="0">
        <left style="thin">
          <color indexed="64"/>
        </left>
        <right style="thin">
          <color indexed="64"/>
        </right>
        <top/>
        <bottom/>
        <vertical/>
        <horizontal/>
      </border>
    </dxf>
    <dxf>
      <alignment horizontal="center" vertical="bottom" textRotation="0" wrapText="0" indent="0" justifyLastLine="0" shrinkToFit="0" readingOrder="0"/>
      <border diagonalUp="0" diagonalDown="0" outline="0">
        <left style="thin">
          <color indexed="64"/>
        </left>
        <right style="thin">
          <color indexed="64"/>
        </right>
        <top/>
        <bottom/>
      </border>
    </dxf>
    <dxf>
      <alignment horizontal="center" vertical="bottom" textRotation="0" wrapText="0"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11"/>
        <color theme="1"/>
        <name val="Calibri"/>
        <family val="2"/>
        <scheme val="minor"/>
      </font>
      <numFmt numFmtId="1" formatCode="0"/>
      <alignment horizontal="center" vertical="bottom" textRotation="0" wrapText="0" indent="0" justifyLastLine="0" shrinkToFit="0" readingOrder="0"/>
      <border diagonalUp="0" diagonalDown="0" outline="0">
        <left style="thin">
          <color indexed="64"/>
        </left>
        <right style="thin">
          <color indexed="64"/>
        </right>
        <top/>
        <bottom/>
      </border>
    </dxf>
    <dxf>
      <numFmt numFmtId="1" formatCode="0"/>
      <alignment horizontal="center" vertical="bottom" textRotation="0" wrapText="0"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11"/>
        <color theme="1"/>
        <name val="Calibri"/>
        <family val="2"/>
        <scheme val="minor"/>
      </font>
      <numFmt numFmtId="1" formatCode="0"/>
      <alignment horizontal="center" vertical="bottom" textRotation="0" wrapText="0" indent="0" justifyLastLine="0" shrinkToFit="0" readingOrder="0"/>
      <border diagonalUp="0" diagonalDown="0" outline="0">
        <left style="thin">
          <color indexed="64"/>
        </left>
        <right style="thin">
          <color indexed="64"/>
        </right>
        <top/>
        <bottom/>
      </border>
    </dxf>
    <dxf>
      <numFmt numFmtId="1" formatCode="0"/>
      <alignment horizontal="center" vertical="bottom" textRotation="0" wrapText="0"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11"/>
        <color theme="1"/>
        <name val="Calibri"/>
        <family val="2"/>
        <scheme val="minor"/>
      </font>
      <numFmt numFmtId="1" formatCode="0"/>
      <alignment horizontal="center" vertical="bottom" textRotation="0" wrapText="0" indent="0" justifyLastLine="0" shrinkToFit="0" readingOrder="0"/>
      <border diagonalUp="0" diagonalDown="0" outline="0">
        <left style="thin">
          <color indexed="64"/>
        </left>
        <right style="thin">
          <color indexed="64"/>
        </right>
        <top/>
        <bottom/>
      </border>
    </dxf>
    <dxf>
      <numFmt numFmtId="1" formatCode="0"/>
      <alignment horizontal="center" vertical="bottom" textRotation="0" wrapText="0"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11"/>
        <color theme="1"/>
        <name val="Calibri"/>
        <family val="2"/>
        <scheme val="minor"/>
      </font>
      <numFmt numFmtId="1" formatCode="0"/>
      <alignment horizontal="center" vertical="bottom" textRotation="0" wrapText="0" indent="0" justifyLastLine="0" shrinkToFit="0" readingOrder="0"/>
      <border diagonalUp="0" diagonalDown="0" outline="0">
        <left style="thin">
          <color indexed="64"/>
        </left>
        <right style="thin">
          <color indexed="64"/>
        </right>
        <top/>
        <bottom/>
      </border>
    </dxf>
    <dxf>
      <numFmt numFmtId="1" formatCode="0"/>
      <alignment horizontal="center" vertical="bottom" textRotation="0" wrapText="0"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11"/>
        <color theme="1"/>
        <name val="Calibri"/>
        <family val="2"/>
        <scheme val="minor"/>
      </font>
      <numFmt numFmtId="1" formatCode="0"/>
      <alignment horizontal="center" vertical="bottom" textRotation="0" wrapText="0" indent="0" justifyLastLine="0" shrinkToFit="0" readingOrder="0"/>
      <border diagonalUp="0" diagonalDown="0" outline="0">
        <left style="thin">
          <color indexed="64"/>
        </left>
        <right style="thin">
          <color indexed="64"/>
        </right>
        <top/>
        <bottom/>
      </border>
    </dxf>
    <dxf>
      <numFmt numFmtId="1" formatCode="0"/>
      <alignment horizontal="center" vertical="bottom" textRotation="0" wrapText="0" indent="0" justifyLastLine="0" shrinkToFit="0" readingOrder="0"/>
      <border diagonalUp="0" diagonalDown="0">
        <left style="thin">
          <color indexed="64"/>
        </left>
        <right style="thin">
          <color indexed="64"/>
        </right>
        <top/>
        <bottom/>
        <vertical/>
        <horizontal/>
      </border>
    </dxf>
    <dxf>
      <numFmt numFmtId="1" formatCode="0"/>
      <alignment horizontal="center" vertical="bottom" textRotation="0" wrapText="0" indent="0" justifyLastLine="0" shrinkToFit="0" readingOrder="0"/>
      <border diagonalUp="0" diagonalDown="0" outline="0">
        <left style="thin">
          <color indexed="64"/>
        </left>
        <right style="thin">
          <color indexed="64"/>
        </right>
        <top/>
        <bottom/>
      </border>
    </dxf>
    <dxf>
      <numFmt numFmtId="1" formatCode="0"/>
      <alignment horizontal="center" vertical="bottom" textRotation="0" wrapText="0" indent="0" justifyLastLine="0" shrinkToFit="0" readingOrder="0"/>
      <border diagonalUp="0" diagonalDown="0">
        <left style="thin">
          <color indexed="64"/>
        </left>
        <right style="thin">
          <color indexed="64"/>
        </right>
        <top/>
        <bottom/>
        <vertical/>
        <horizontal/>
      </border>
    </dxf>
    <dxf>
      <alignment horizontal="center" vertical="bottom" textRotation="0" wrapText="0" indent="0" justifyLastLine="0" shrinkToFit="0" readingOrder="0"/>
      <border diagonalUp="0" diagonalDown="0" outline="0">
        <left style="thin">
          <color indexed="64"/>
        </left>
        <right style="thin">
          <color indexed="64"/>
        </right>
        <top/>
        <bottom/>
      </border>
    </dxf>
    <dxf>
      <alignment horizontal="center" vertical="bottom" textRotation="0" wrapText="0" indent="0" justifyLastLine="0" shrinkToFit="0" readingOrder="0"/>
      <border diagonalUp="0" diagonalDown="0">
        <left style="thin">
          <color indexed="64"/>
        </left>
        <right style="thin">
          <color indexed="64"/>
        </right>
        <top/>
        <bottom/>
        <vertical/>
        <horizontal/>
      </border>
    </dxf>
    <dxf>
      <numFmt numFmtId="1" formatCode="0"/>
      <alignment horizontal="center" vertical="bottom" textRotation="0" wrapText="0" indent="0" justifyLastLine="0" shrinkToFit="0" readingOrder="0"/>
      <border diagonalUp="0" diagonalDown="0" outline="0">
        <left style="thin">
          <color indexed="64"/>
        </left>
        <right style="thin">
          <color indexed="64"/>
        </right>
        <top/>
        <bottom/>
      </border>
    </dxf>
    <dxf>
      <numFmt numFmtId="1" formatCode="0"/>
      <alignment horizontal="center" vertical="bottom" textRotation="0" wrapText="0" indent="0" justifyLastLine="0" shrinkToFit="0" readingOrder="0"/>
      <border diagonalUp="0" diagonalDown="0">
        <left style="thin">
          <color indexed="64"/>
        </left>
        <right style="thin">
          <color indexed="64"/>
        </right>
        <top/>
        <bottom/>
        <vertical/>
        <horizontal/>
      </border>
    </dxf>
    <dxf>
      <alignment horizontal="center" vertical="bottom" textRotation="0" wrapText="0" indent="0" justifyLastLine="0" shrinkToFit="0" readingOrder="0"/>
      <border diagonalUp="0" diagonalDown="0" outline="0">
        <left style="thin">
          <color indexed="64"/>
        </left>
        <right style="thin">
          <color indexed="64"/>
        </right>
        <top/>
        <bottom/>
      </border>
    </dxf>
    <dxf>
      <alignment horizontal="center" vertical="bottom" textRotation="0" wrapText="0"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11"/>
        <color theme="1"/>
        <name val="Calibri"/>
        <family val="2"/>
        <scheme val="minor"/>
      </font>
      <numFmt numFmtId="13" formatCode="0\ %"/>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minor"/>
      </font>
      <numFmt numFmtId="13" formatCode="0\ %"/>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11"/>
        <color theme="1"/>
        <name val="Calibri"/>
        <family val="2"/>
        <scheme val="minor"/>
      </font>
      <numFmt numFmtId="13" formatCode="0\ %"/>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minor"/>
      </font>
      <numFmt numFmtId="13" formatCode="0\ %"/>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11"/>
        <color theme="1"/>
        <name val="Calibri"/>
        <family val="2"/>
        <scheme val="minor"/>
      </font>
      <numFmt numFmtId="13" formatCode="0\ %"/>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minor"/>
      </font>
      <numFmt numFmtId="13" formatCode="0\ %"/>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ertAlign val="baseline"/>
        <sz val="11"/>
        <color theme="10"/>
        <name val="Calibri"/>
        <family val="2"/>
        <scheme val="minor"/>
      </font>
      <fill>
        <patternFill patternType="none">
          <fgColor indexed="64"/>
          <bgColor indexed="65"/>
        </patternFill>
      </fill>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style="thin">
          <color indexed="64"/>
        </right>
        <top/>
        <bottom/>
        <vertical/>
        <horizontal/>
      </border>
    </dxf>
    <dxf>
      <font>
        <b val="0"/>
        <i val="0"/>
        <strike val="0"/>
        <condense val="0"/>
        <extend val="0"/>
        <outline val="0"/>
        <shadow val="0"/>
        <u/>
        <vertAlign val="baseline"/>
        <sz val="11"/>
        <color theme="10"/>
        <name val="Calibri"/>
        <family val="2"/>
        <scheme val="minor"/>
      </font>
      <fill>
        <patternFill patternType="none">
          <fgColor indexed="64"/>
          <bgColor indexed="65"/>
        </patternFill>
      </fill>
      <alignment horizontal="general" vertical="bottom" textRotation="0" wrapText="1" indent="0" justifyLastLine="0" shrinkToFit="0" readingOrder="0"/>
      <border diagonalUp="0" diagonalDown="0" outline="0">
        <left/>
        <right/>
        <top/>
        <bottom/>
      </border>
    </dxf>
    <dxf>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ertAlign val="baseline"/>
        <sz val="11"/>
        <color theme="10"/>
        <name val="Calibri"/>
        <family val="2"/>
        <scheme val="minor"/>
      </font>
      <numFmt numFmtId="30" formatCode="@"/>
      <alignment horizontal="general" vertical="bottom" textRotation="0" wrapText="1" indent="0" justifyLastLine="0" shrinkToFit="0" readingOrder="0"/>
      <border diagonalUp="0" diagonalDown="0" outline="0">
        <left style="thin">
          <color indexed="64"/>
        </left>
        <right style="thin">
          <color indexed="64"/>
        </right>
        <top/>
        <bottom/>
      </border>
    </dxf>
    <dxf>
      <numFmt numFmtId="30" formatCode="@"/>
      <alignment horizontal="general" vertical="bottom" textRotation="0" wrapText="1" indent="0" justifyLastLine="0" shrinkToFit="0" readingOrder="0"/>
      <border diagonalUp="0" diagonalDown="0">
        <left style="thin">
          <color indexed="64"/>
        </left>
        <right style="thin">
          <color indexed="64"/>
        </right>
        <top/>
        <bottom/>
        <vertical/>
        <horizontal/>
      </border>
    </dxf>
    <dxf>
      <alignment horizontal="center" vertical="bottom" textRotation="0" wrapText="0" indent="0" justifyLastLine="0" shrinkToFit="0" readingOrder="0"/>
      <border diagonalUp="0" diagonalDown="0" outline="0">
        <left style="thin">
          <color indexed="64"/>
        </left>
        <right style="thin">
          <color indexed="64"/>
        </right>
        <top style="thin">
          <color indexed="64"/>
        </top>
        <bottom/>
      </border>
    </dxf>
    <dxf>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64" formatCode="&quot;kr&quot;\ #,##0"/>
      <alignment horizontal="center" vertical="bottom" textRotation="0" wrapText="0" indent="0" justifyLastLine="0" shrinkToFit="0" readingOrder="0"/>
      <border diagonalUp="0" diagonalDown="0" outline="0">
        <left style="thin">
          <color indexed="64"/>
        </left>
        <right style="thin">
          <color indexed="64"/>
        </right>
        <top/>
        <bottom/>
      </border>
    </dxf>
    <dxf>
      <numFmt numFmtId="164" formatCode="&quot;kr&quot;\ #,##0"/>
      <alignment horizontal="center" vertical="bottom" textRotation="0" wrapText="0" indent="0" justifyLastLine="0" shrinkToFit="0" readingOrder="0"/>
      <border diagonalUp="0" diagonalDown="0">
        <left style="thin">
          <color indexed="64"/>
        </left>
        <right style="thin">
          <color indexed="64"/>
        </right>
        <top/>
        <bottom/>
        <vertical/>
        <horizontal/>
      </border>
    </dxf>
    <dxf>
      <alignment horizontal="center" vertical="bottom" textRotation="0" wrapText="0" indent="0" justifyLastLine="0" shrinkToFit="0" readingOrder="0"/>
      <border diagonalUp="0" diagonalDown="0" outline="0">
        <left style="thin">
          <color indexed="64"/>
        </left>
        <right style="thin">
          <color indexed="64"/>
        </right>
        <top style="thin">
          <color indexed="64"/>
        </top>
        <bottom/>
      </border>
    </dxf>
    <dxf>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indent="0" justifyLastLine="0" shrinkToFit="0" readingOrder="0"/>
      <border diagonalUp="0" diagonalDown="0" outline="0">
        <left style="thin">
          <color indexed="64"/>
        </left>
        <right style="thin">
          <color indexed="64"/>
        </right>
        <top/>
        <bottom/>
      </border>
    </dxf>
    <dxf>
      <alignment horizontal="left" vertical="bottom" textRotation="0" wrapText="0" indent="0" justifyLastLine="0" shrinkToFit="0" readingOrder="0"/>
      <border diagonalUp="0" diagonalDown="0">
        <left style="thin">
          <color indexed="64"/>
        </left>
        <right style="thin">
          <color indexed="64"/>
        </right>
        <top/>
        <bottom/>
        <vertical/>
        <horizontal/>
      </border>
    </dxf>
    <dxf>
      <alignment horizontal="center" vertical="bottom" textRotation="0" wrapText="0" indent="0" justifyLastLine="0" shrinkToFit="0" readingOrder="0"/>
      <border diagonalUp="0" diagonalDown="0" outline="0">
        <left style="thin">
          <color indexed="64"/>
        </left>
        <right style="thin">
          <color indexed="64"/>
        </right>
        <top style="thin">
          <color indexed="64"/>
        </top>
        <bottom/>
      </border>
    </dxf>
    <dxf>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border diagonalUp="0" diagonalDown="0" outline="0">
        <left style="thin">
          <color indexed="64"/>
        </left>
        <right style="thin">
          <color indexed="64"/>
        </right>
        <top/>
        <bottom/>
      </border>
    </dxf>
    <dxf>
      <alignment horizontal="center" vertical="bottom" textRotation="0" wrapText="0" indent="0" justifyLastLine="0" shrinkToFit="0" readingOrder="0"/>
      <border diagonalUp="0" diagonalDown="0">
        <left style="thin">
          <color indexed="64"/>
        </left>
        <right style="thin">
          <color indexed="64"/>
        </right>
        <top/>
        <bottom/>
        <vertical/>
        <horizontal/>
      </border>
    </dxf>
    <dxf>
      <alignment horizontal="center" vertical="bottom" textRotation="0" wrapText="0" indent="0" justifyLastLine="0" shrinkToFit="0" readingOrder="0"/>
      <border diagonalUp="0" diagonalDown="0" outline="0">
        <left style="thin">
          <color indexed="64"/>
        </left>
        <right style="thin">
          <color indexed="64"/>
        </right>
        <top style="thin">
          <color indexed="64"/>
        </top>
        <bottom/>
      </border>
    </dxf>
    <dxf>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numFmt numFmtId="35" formatCode="_-* #,##0.00_-;\-* #,##0.00_-;_-* &quot;-&quot;??_-;_-@_-"/>
      <border diagonalUp="0" diagonalDown="0" outline="0">
        <left style="thin">
          <color indexed="64"/>
        </left>
        <right style="thin">
          <color indexed="64"/>
        </right>
        <top/>
        <bottom/>
      </border>
    </dxf>
    <dxf>
      <border diagonalUp="0" diagonalDown="0">
        <left style="thin">
          <color indexed="64"/>
        </left>
        <right style="thin">
          <color indexed="64"/>
        </right>
        <top/>
        <bottom/>
        <vertical/>
        <horizontal/>
      </border>
    </dxf>
    <dxf>
      <font>
        <b val="0"/>
        <i val="0"/>
        <strike val="0"/>
        <condense val="0"/>
        <extend val="0"/>
        <outline val="0"/>
        <shadow val="0"/>
        <u val="none"/>
        <vertAlign val="baseline"/>
        <sz val="11"/>
        <color theme="1"/>
        <name val="Calibri"/>
        <family val="2"/>
        <scheme val="minor"/>
      </font>
      <numFmt numFmtId="35" formatCode="_-* #,##0.00_-;\-* #,##0.00_-;_-* &quot;-&quot;??_-;_-@_-"/>
      <border diagonalUp="0" diagonalDown="0" outline="0">
        <left style="thin">
          <color indexed="64"/>
        </left>
        <right style="thin">
          <color indexed="64"/>
        </right>
        <top style="thin">
          <color indexed="64"/>
        </top>
        <bottom/>
      </border>
    </dxf>
    <dxf>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numFmt numFmtId="35" formatCode="_-* #,##0.00_-;\-* #,##0.00_-;_-* &quot;-&quot;??_-;_-@_-"/>
      <border diagonalUp="0" diagonalDown="0" outline="0">
        <left style="thin">
          <color indexed="64"/>
        </left>
        <right style="thin">
          <color indexed="64"/>
        </right>
        <top/>
        <bottom/>
      </border>
    </dxf>
    <dxf>
      <border diagonalUp="0" diagonalDown="0">
        <left style="thin">
          <color indexed="64"/>
        </left>
        <right style="thin">
          <color indexed="64"/>
        </right>
        <top/>
        <bottom/>
        <vertical/>
        <horizontal/>
      </border>
    </dxf>
    <dxf>
      <numFmt numFmtId="3" formatCode="#,##0"/>
      <alignment horizontal="center" vertical="bottom" textRotation="0" wrapText="0" indent="0" justifyLastLine="0" shrinkToFit="0" readingOrder="0"/>
      <border diagonalUp="0" diagonalDown="0" outline="0">
        <left style="thin">
          <color indexed="64"/>
        </left>
        <right style="thin">
          <color indexed="64"/>
        </right>
        <top style="thin">
          <color indexed="64"/>
        </top>
        <bottom/>
      </border>
    </dxf>
    <dxf>
      <numFmt numFmtId="3" formatCode="#,##0"/>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35" formatCode="_-* #,##0.00_-;\-* #,##0.00_-;_-* &quot;-&quot;??_-;_-@_-"/>
      <border diagonalUp="0" diagonalDown="0" outline="0">
        <left style="thin">
          <color indexed="64"/>
        </left>
        <right style="thin">
          <color indexed="64"/>
        </right>
        <top/>
        <bottom/>
      </border>
    </dxf>
    <dxf>
      <font>
        <color auto="1"/>
      </font>
      <border diagonalUp="0" diagonalDown="0">
        <left style="thin">
          <color indexed="64"/>
        </left>
        <right style="thin">
          <color indexed="64"/>
        </right>
        <top/>
        <bottom/>
        <vertical/>
        <horizontal/>
      </border>
    </dxf>
    <dxf>
      <numFmt numFmtId="19" formatCode="dd/mm/yyyy"/>
      <alignment horizontal="center" vertical="bottom" textRotation="0" wrapText="0" indent="0" justifyLastLine="0" shrinkToFit="0" readingOrder="0"/>
      <border diagonalUp="0" diagonalDown="0" outline="0">
        <left style="thin">
          <color indexed="64"/>
        </left>
        <right style="thin">
          <color indexed="64"/>
        </right>
        <top style="thin">
          <color indexed="64"/>
        </top>
        <bottom/>
      </border>
    </dxf>
    <dxf>
      <numFmt numFmtId="19" formatCode="dd/mm/yyyy"/>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border diagonalUp="0" diagonalDown="0" outline="0">
        <left style="thin">
          <color indexed="64"/>
        </left>
        <right style="thin">
          <color indexed="64"/>
        </right>
        <top/>
        <bottom/>
      </border>
    </dxf>
    <dxf>
      <alignment horizontal="center" vertical="bottom" textRotation="0" wrapText="0" indent="0" justifyLastLine="0" shrinkToFit="0" readingOrder="0"/>
      <border diagonalUp="0" diagonalDown="0">
        <left style="thin">
          <color indexed="64"/>
        </left>
        <right style="thin">
          <color indexed="64"/>
        </right>
        <top/>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bottom/>
        <vertical/>
        <horizontal/>
      </border>
    </dxf>
    <dxf>
      <border outline="0">
        <left style="thin">
          <color indexed="64"/>
        </left>
        <right style="thin">
          <color indexed="64"/>
        </right>
      </border>
    </dxf>
    <dxf>
      <font>
        <b/>
        <i val="0"/>
        <strike val="0"/>
        <condense val="0"/>
        <extend val="0"/>
        <outline val="0"/>
        <shadow val="0"/>
        <u val="none"/>
        <vertAlign val="baseline"/>
        <sz val="11"/>
        <color theme="1"/>
        <name val="Calibri"/>
        <family val="2"/>
        <scheme val="minor"/>
      </font>
      <fill>
        <patternFill patternType="solid">
          <fgColor indexed="64"/>
          <bgColor rgb="FFFFE1E4"/>
        </patternFill>
      </fill>
      <alignment horizontal="center"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Medium9"/>
  <colors>
    <mruColors>
      <color rgb="FF00AB84"/>
      <color rgb="FF009FE3"/>
      <color rgb="FF012A4C"/>
      <color rgb="FFEFEFEF"/>
      <color rgb="FFD1D1D1"/>
      <color rgb="FFE6E6E6"/>
      <color rgb="FF005B91"/>
      <color rgb="FF333333"/>
      <color rgb="FFF7F7F7"/>
      <color rgb="FF82828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eetMetadata" Target="metadata.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2.xml"/><Relationship Id="rId5" Type="http://schemas.openxmlformats.org/officeDocument/2006/relationships/styles" Target="styles.xml"/><Relationship Id="rId10" Type="http://schemas.openxmlformats.org/officeDocument/2006/relationships/customXml" Target="../customXml/item1.xml"/><Relationship Id="rId4" Type="http://schemas.openxmlformats.org/officeDocument/2006/relationships/theme" Target="theme/theme1.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2" Type="http://schemas.microsoft.com/office/2011/relationships/chartColorStyle" Target="colors56.xml"/><Relationship Id="rId1" Type="http://schemas.microsoft.com/office/2011/relationships/chartStyle" Target="style56.xml"/></Relationships>
</file>

<file path=xl/charts/_rels/chart57.xml.rels><?xml version="1.0" encoding="UTF-8" standalone="yes"?>
<Relationships xmlns="http://schemas.openxmlformats.org/package/2006/relationships"><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2" Type="http://schemas.microsoft.com/office/2011/relationships/chartColorStyle" Target="colors58.xml"/><Relationship Id="rId1" Type="http://schemas.microsoft.com/office/2011/relationships/chartStyle" Target="style58.xml"/></Relationships>
</file>

<file path=xl/charts/_rels/chart59.xml.rels><?xml version="1.0" encoding="UTF-8" standalone="yes"?>
<Relationships xmlns="http://schemas.openxmlformats.org/package/2006/relationships"><Relationship Id="rId2" Type="http://schemas.microsoft.com/office/2011/relationships/chartColorStyle" Target="colors59.xml"/><Relationship Id="rId1" Type="http://schemas.microsoft.com/office/2011/relationships/chartStyle" Target="style59.xml"/></Relationships>
</file>

<file path=xl/charts/_rels/chart60.xml.rels><?xml version="1.0" encoding="UTF-8" standalone="yes"?>
<Relationships xmlns="http://schemas.openxmlformats.org/package/2006/relationships"><Relationship Id="rId2" Type="http://schemas.microsoft.com/office/2011/relationships/chartColorStyle" Target="colors60.xml"/><Relationship Id="rId1" Type="http://schemas.microsoft.com/office/2011/relationships/chartStyle" Target="style60.xml"/></Relationships>
</file>

<file path=xl/charts/_rels/chart61.xml.rels><?xml version="1.0" encoding="UTF-8" standalone="yes"?>
<Relationships xmlns="http://schemas.openxmlformats.org/package/2006/relationships"><Relationship Id="rId2" Type="http://schemas.microsoft.com/office/2011/relationships/chartColorStyle" Target="colors61.xml"/><Relationship Id="rId1" Type="http://schemas.microsoft.com/office/2011/relationships/chartStyle" Target="style61.xml"/></Relationships>
</file>

<file path=xl/charts/_rels/chart62.xml.rels><?xml version="1.0" encoding="UTF-8" standalone="yes"?>
<Relationships xmlns="http://schemas.openxmlformats.org/package/2006/relationships"><Relationship Id="rId2" Type="http://schemas.microsoft.com/office/2011/relationships/chartColorStyle" Target="colors62.xml"/><Relationship Id="rId1" Type="http://schemas.microsoft.com/office/2011/relationships/chartStyle" Target="style62.xml"/></Relationships>
</file>

<file path=xl/charts/_rels/chart63.xml.rels><?xml version="1.0" encoding="UTF-8" standalone="yes"?>
<Relationships xmlns="http://schemas.openxmlformats.org/package/2006/relationships"><Relationship Id="rId2" Type="http://schemas.microsoft.com/office/2011/relationships/chartColorStyle" Target="colors63.xml"/><Relationship Id="rId1" Type="http://schemas.microsoft.com/office/2011/relationships/chartStyle" Target="style63.xml"/></Relationships>
</file>

<file path=xl/charts/_rels/chart64.xml.rels><?xml version="1.0" encoding="UTF-8" standalone="yes"?>
<Relationships xmlns="http://schemas.openxmlformats.org/package/2006/relationships"><Relationship Id="rId2" Type="http://schemas.microsoft.com/office/2011/relationships/chartColorStyle" Target="colors64.xml"/><Relationship Id="rId1" Type="http://schemas.microsoft.com/office/2011/relationships/chartStyle" Target="style64.xml"/></Relationships>
</file>

<file path=xl/charts/_rels/chart65.xml.rels><?xml version="1.0" encoding="UTF-8" standalone="yes"?>
<Relationships xmlns="http://schemas.openxmlformats.org/package/2006/relationships"><Relationship Id="rId2" Type="http://schemas.microsoft.com/office/2011/relationships/chartColorStyle" Target="colors65.xml"/><Relationship Id="rId1" Type="http://schemas.microsoft.com/office/2011/relationships/chartStyle" Target="style65.xml"/></Relationships>
</file>

<file path=xl/charts/_rels/chart66.xml.rels><?xml version="1.0" encoding="UTF-8" standalone="yes"?>
<Relationships xmlns="http://schemas.openxmlformats.org/package/2006/relationships"><Relationship Id="rId2" Type="http://schemas.microsoft.com/office/2011/relationships/chartColorStyle" Target="colors66.xml"/><Relationship Id="rId1" Type="http://schemas.microsoft.com/office/2011/relationships/chartStyle" Target="style66.xml"/></Relationships>
</file>

<file path=xl/charts/_rels/chart67.xml.rels><?xml version="1.0" encoding="UTF-8" standalone="yes"?>
<Relationships xmlns="http://schemas.openxmlformats.org/package/2006/relationships"><Relationship Id="rId2" Type="http://schemas.microsoft.com/office/2011/relationships/chartColorStyle" Target="colors67.xml"/><Relationship Id="rId1" Type="http://schemas.microsoft.com/office/2011/relationships/chartStyle" Target="style67.xml"/></Relationships>
</file>

<file path=xl/charts/_rels/chart68.xml.rels><?xml version="1.0" encoding="UTF-8" standalone="yes"?>
<Relationships xmlns="http://schemas.openxmlformats.org/package/2006/relationships"><Relationship Id="rId2" Type="http://schemas.microsoft.com/office/2011/relationships/chartColorStyle" Target="colors68.xml"/><Relationship Id="rId1" Type="http://schemas.microsoft.com/office/2011/relationships/chartStyle" Target="style68.xml"/></Relationships>
</file>

<file path=xl/charts/_rels/chart69.xml.rels><?xml version="1.0" encoding="UTF-8" standalone="yes"?>
<Relationships xmlns="http://schemas.openxmlformats.org/package/2006/relationships"><Relationship Id="rId2" Type="http://schemas.microsoft.com/office/2011/relationships/chartColorStyle" Target="colors69.xml"/><Relationship Id="rId1" Type="http://schemas.microsoft.com/office/2011/relationships/chartStyle" Target="style69.xml"/></Relationships>
</file>

<file path=xl/charts/_rels/chart70.xml.rels><?xml version="1.0" encoding="UTF-8" standalone="yes"?>
<Relationships xmlns="http://schemas.openxmlformats.org/package/2006/relationships"><Relationship Id="rId2" Type="http://schemas.microsoft.com/office/2011/relationships/chartColorStyle" Target="colors70.xml"/><Relationship Id="rId1" Type="http://schemas.microsoft.com/office/2011/relationships/chartStyle" Target="style70.xml"/></Relationships>
</file>

<file path=xl/charts/_rels/chart71.xml.rels><?xml version="1.0" encoding="UTF-8" standalone="yes"?>
<Relationships xmlns="http://schemas.openxmlformats.org/package/2006/relationships"><Relationship Id="rId2" Type="http://schemas.microsoft.com/office/2011/relationships/chartColorStyle" Target="colors71.xml"/><Relationship Id="rId1" Type="http://schemas.microsoft.com/office/2011/relationships/chartStyle" Target="style71.xml"/></Relationships>
</file>

<file path=xl/charts/_rels/chart72.xml.rels><?xml version="1.0" encoding="UTF-8" standalone="yes"?>
<Relationships xmlns="http://schemas.openxmlformats.org/package/2006/relationships"><Relationship Id="rId2" Type="http://schemas.microsoft.com/office/2011/relationships/chartColorStyle" Target="colors72.xml"/><Relationship Id="rId1" Type="http://schemas.microsoft.com/office/2011/relationships/chartStyle" Target="style72.xml"/></Relationships>
</file>

<file path=xl/charts/_rels/chart73.xml.rels><?xml version="1.0" encoding="UTF-8" standalone="yes"?>
<Relationships xmlns="http://schemas.openxmlformats.org/package/2006/relationships"><Relationship Id="rId2" Type="http://schemas.microsoft.com/office/2011/relationships/chartColorStyle" Target="colors73.xml"/><Relationship Id="rId1" Type="http://schemas.microsoft.com/office/2011/relationships/chartStyle" Target="style73.xml"/></Relationships>
</file>

<file path=xl/charts/_rels/chart74.xml.rels><?xml version="1.0" encoding="UTF-8" standalone="yes"?>
<Relationships xmlns="http://schemas.openxmlformats.org/package/2006/relationships"><Relationship Id="rId2" Type="http://schemas.microsoft.com/office/2011/relationships/chartColorStyle" Target="colors74.xml"/><Relationship Id="rId1" Type="http://schemas.microsoft.com/office/2011/relationships/chartStyle" Target="style74.xml"/></Relationships>
</file>

<file path=xl/charts/_rels/chart75.xml.rels><?xml version="1.0" encoding="UTF-8" standalone="yes"?>
<Relationships xmlns="http://schemas.openxmlformats.org/package/2006/relationships"><Relationship Id="rId2" Type="http://schemas.microsoft.com/office/2011/relationships/chartColorStyle" Target="colors75.xml"/><Relationship Id="rId1" Type="http://schemas.microsoft.com/office/2011/relationships/chartStyle" Target="style75.xml"/></Relationships>
</file>

<file path=xl/charts/_rels/chart76.xml.rels><?xml version="1.0" encoding="UTF-8" standalone="yes"?>
<Relationships xmlns="http://schemas.openxmlformats.org/package/2006/relationships"><Relationship Id="rId2" Type="http://schemas.microsoft.com/office/2011/relationships/chartColorStyle" Target="colors76.xml"/><Relationship Id="rId1" Type="http://schemas.microsoft.com/office/2011/relationships/chartStyle" Target="style76.xml"/></Relationships>
</file>

<file path=xl/charts/_rels/chart77.xml.rels><?xml version="1.0" encoding="UTF-8" standalone="yes"?>
<Relationships xmlns="http://schemas.openxmlformats.org/package/2006/relationships"><Relationship Id="rId2" Type="http://schemas.microsoft.com/office/2011/relationships/chartColorStyle" Target="colors77.xml"/><Relationship Id="rId1" Type="http://schemas.microsoft.com/office/2011/relationships/chartStyle" Target="style77.xml"/></Relationships>
</file>

<file path=xl/charts/_rels/chart78.xml.rels><?xml version="1.0" encoding="UTF-8" standalone="yes"?>
<Relationships xmlns="http://schemas.openxmlformats.org/package/2006/relationships"><Relationship Id="rId2" Type="http://schemas.microsoft.com/office/2011/relationships/chartColorStyle" Target="colors78.xml"/><Relationship Id="rId1" Type="http://schemas.microsoft.com/office/2011/relationships/chartStyle" Target="style78.xml"/></Relationships>
</file>

<file path=xl/charts/_rels/chart79.xml.rels><?xml version="1.0" encoding="UTF-8" standalone="yes"?>
<Relationships xmlns="http://schemas.openxmlformats.org/package/2006/relationships"><Relationship Id="rId2" Type="http://schemas.microsoft.com/office/2011/relationships/chartColorStyle" Target="colors79.xml"/><Relationship Id="rId1" Type="http://schemas.microsoft.com/office/2011/relationships/chartStyle" Target="style79.xml"/></Relationships>
</file>

<file path=xl/charts/_rels/chart80.xml.rels><?xml version="1.0" encoding="UTF-8" standalone="yes"?>
<Relationships xmlns="http://schemas.openxmlformats.org/package/2006/relationships"><Relationship Id="rId2" Type="http://schemas.microsoft.com/office/2011/relationships/chartColorStyle" Target="colors80.xml"/><Relationship Id="rId1" Type="http://schemas.microsoft.com/office/2011/relationships/chartStyle" Target="style80.xml"/></Relationships>
</file>

<file path=xl/charts/_rels/chart81.xml.rels><?xml version="1.0" encoding="UTF-8" standalone="yes"?>
<Relationships xmlns="http://schemas.openxmlformats.org/package/2006/relationships"><Relationship Id="rId2" Type="http://schemas.microsoft.com/office/2011/relationships/chartColorStyle" Target="colors81.xml"/><Relationship Id="rId1" Type="http://schemas.microsoft.com/office/2011/relationships/chartStyle" Target="style81.xml"/></Relationships>
</file>

<file path=xl/charts/_rels/chart82.xml.rels><?xml version="1.0" encoding="UTF-8" standalone="yes"?>
<Relationships xmlns="http://schemas.openxmlformats.org/package/2006/relationships"><Relationship Id="rId2" Type="http://schemas.microsoft.com/office/2011/relationships/chartColorStyle" Target="colors82.xml"/><Relationship Id="rId1" Type="http://schemas.microsoft.com/office/2011/relationships/chartStyle" Target="style82.xml"/></Relationships>
</file>

<file path=xl/charts/_rels/chart83.xml.rels><?xml version="1.0" encoding="UTF-8" standalone="yes"?>
<Relationships xmlns="http://schemas.openxmlformats.org/package/2006/relationships"><Relationship Id="rId2" Type="http://schemas.microsoft.com/office/2011/relationships/chartColorStyle" Target="colors83.xml"/><Relationship Id="rId1" Type="http://schemas.microsoft.com/office/2011/relationships/chartStyle" Target="style83.xml"/></Relationships>
</file>

<file path=xl/charts/_rels/chart84.xml.rels><?xml version="1.0" encoding="UTF-8" standalone="yes"?>
<Relationships xmlns="http://schemas.openxmlformats.org/package/2006/relationships"><Relationship Id="rId2" Type="http://schemas.microsoft.com/office/2011/relationships/chartColorStyle" Target="colors84.xml"/><Relationship Id="rId1" Type="http://schemas.microsoft.com/office/2011/relationships/chartStyle" Target="style84.xml"/></Relationships>
</file>

<file path=xl/charts/_rels/chart85.xml.rels><?xml version="1.0" encoding="UTF-8" standalone="yes"?>
<Relationships xmlns="http://schemas.openxmlformats.org/package/2006/relationships"><Relationship Id="rId2" Type="http://schemas.microsoft.com/office/2011/relationships/chartColorStyle" Target="colors85.xml"/><Relationship Id="rId1" Type="http://schemas.microsoft.com/office/2011/relationships/chartStyle" Target="style85.xml"/></Relationships>
</file>

<file path=xl/charts/_rels/chart86.xml.rels><?xml version="1.0" encoding="UTF-8" standalone="yes"?>
<Relationships xmlns="http://schemas.openxmlformats.org/package/2006/relationships"><Relationship Id="rId2" Type="http://schemas.microsoft.com/office/2011/relationships/chartColorStyle" Target="colors86.xml"/><Relationship Id="rId1" Type="http://schemas.microsoft.com/office/2011/relationships/chartStyle" Target="style86.xml"/></Relationships>
</file>

<file path=xl/charts/_rels/chart87.xml.rels><?xml version="1.0" encoding="UTF-8" standalone="yes"?>
<Relationships xmlns="http://schemas.openxmlformats.org/package/2006/relationships"><Relationship Id="rId2" Type="http://schemas.microsoft.com/office/2011/relationships/chartColorStyle" Target="colors87.xml"/><Relationship Id="rId1" Type="http://schemas.microsoft.com/office/2011/relationships/chartStyle" Target="style87.xml"/></Relationships>
</file>

<file path=xl/charts/_rels/chart88.xml.rels><?xml version="1.0" encoding="UTF-8" standalone="yes"?>
<Relationships xmlns="http://schemas.openxmlformats.org/package/2006/relationships"><Relationship Id="rId2" Type="http://schemas.microsoft.com/office/2011/relationships/chartColorStyle" Target="colors88.xml"/><Relationship Id="rId1" Type="http://schemas.microsoft.com/office/2011/relationships/chartStyle" Target="style88.xml"/></Relationships>
</file>

<file path=xl/charts/_rels/chart89.xml.rels><?xml version="1.0" encoding="UTF-8" standalone="yes"?>
<Relationships xmlns="http://schemas.openxmlformats.org/package/2006/relationships"><Relationship Id="rId2" Type="http://schemas.microsoft.com/office/2011/relationships/chartColorStyle" Target="colors89.xml"/><Relationship Id="rId1" Type="http://schemas.microsoft.com/office/2011/relationships/chartStyle" Target="style89.xml"/></Relationships>
</file>

<file path=xl/charts/_rels/chart90.xml.rels><?xml version="1.0" encoding="UTF-8" standalone="yes"?>
<Relationships xmlns="http://schemas.openxmlformats.org/package/2006/relationships"><Relationship Id="rId2" Type="http://schemas.microsoft.com/office/2011/relationships/chartColorStyle" Target="colors90.xml"/><Relationship Id="rId1" Type="http://schemas.microsoft.com/office/2011/relationships/chartStyle" Target="style90.xml"/></Relationships>
</file>

<file path=xl/charts/_rels/chart91.xml.rels><?xml version="1.0" encoding="UTF-8" standalone="yes"?>
<Relationships xmlns="http://schemas.openxmlformats.org/package/2006/relationships"><Relationship Id="rId2" Type="http://schemas.microsoft.com/office/2011/relationships/chartColorStyle" Target="colors91.xml"/><Relationship Id="rId1" Type="http://schemas.microsoft.com/office/2011/relationships/chartStyle" Target="style91.xml"/></Relationships>
</file>

<file path=xl/charts/_rels/chart92.xml.rels><?xml version="1.0" encoding="UTF-8" standalone="yes"?>
<Relationships xmlns="http://schemas.openxmlformats.org/package/2006/relationships"><Relationship Id="rId2" Type="http://schemas.microsoft.com/office/2011/relationships/chartColorStyle" Target="colors92.xml"/><Relationship Id="rId1" Type="http://schemas.microsoft.com/office/2011/relationships/chartStyle" Target="style92.xml"/></Relationships>
</file>

<file path=xl/charts/_rels/chart93.xml.rels><?xml version="1.0" encoding="UTF-8" standalone="yes"?>
<Relationships xmlns="http://schemas.openxmlformats.org/package/2006/relationships"><Relationship Id="rId2" Type="http://schemas.microsoft.com/office/2011/relationships/chartColorStyle" Target="colors93.xml"/><Relationship Id="rId1" Type="http://schemas.microsoft.com/office/2011/relationships/chartStyle" Target="style93.xml"/></Relationships>
</file>

<file path=xl/charts/_rels/chart94.xml.rels><?xml version="1.0" encoding="UTF-8" standalone="yes"?>
<Relationships xmlns="http://schemas.openxmlformats.org/package/2006/relationships"><Relationship Id="rId2" Type="http://schemas.microsoft.com/office/2011/relationships/chartColorStyle" Target="colors94.xml"/><Relationship Id="rId1" Type="http://schemas.microsoft.com/office/2011/relationships/chartStyle" Target="style94.xml"/></Relationships>
</file>

<file path=xl/charts/_rels/chart95.xml.rels><?xml version="1.0" encoding="UTF-8" standalone="yes"?>
<Relationships xmlns="http://schemas.openxmlformats.org/package/2006/relationships"><Relationship Id="rId2" Type="http://schemas.microsoft.com/office/2011/relationships/chartColorStyle" Target="colors95.xml"/><Relationship Id="rId1" Type="http://schemas.microsoft.com/office/2011/relationships/chartStyle" Target="style95.xml"/></Relationships>
</file>

<file path=xl/charts/_rels/chart96.xml.rels><?xml version="1.0" encoding="UTF-8" standalone="yes"?>
<Relationships xmlns="http://schemas.openxmlformats.org/package/2006/relationships"><Relationship Id="rId2" Type="http://schemas.microsoft.com/office/2011/relationships/chartColorStyle" Target="colors96.xml"/><Relationship Id="rId1" Type="http://schemas.microsoft.com/office/2011/relationships/chartStyle" Target="style96.xml"/></Relationships>
</file>

<file path=xl/charts/_rels/chart97.xml.rels><?xml version="1.0" encoding="UTF-8" standalone="yes"?>
<Relationships xmlns="http://schemas.openxmlformats.org/package/2006/relationships"><Relationship Id="rId2" Type="http://schemas.microsoft.com/office/2011/relationships/chartColorStyle" Target="colors97.xml"/><Relationship Id="rId1" Type="http://schemas.microsoft.com/office/2011/relationships/chartStyle" Target="style97.xml"/></Relationships>
</file>

<file path=xl/charts/_rels/chart98.xml.rels><?xml version="1.0" encoding="UTF-8" standalone="yes"?>
<Relationships xmlns="http://schemas.openxmlformats.org/package/2006/relationships"><Relationship Id="rId2" Type="http://schemas.microsoft.com/office/2011/relationships/chartColorStyle" Target="colors98.xml"/><Relationship Id="rId1" Type="http://schemas.microsoft.com/office/2011/relationships/chartStyle" Target="style98.xml"/></Relationships>
</file>

<file path=xl/charts/_rels/chart99.xml.rels><?xml version="1.0" encoding="UTF-8" standalone="yes"?>
<Relationships xmlns="http://schemas.openxmlformats.org/package/2006/relationships"><Relationship Id="rId2" Type="http://schemas.microsoft.com/office/2011/relationships/chartColorStyle" Target="colors99.xml"/><Relationship Id="rId1" Type="http://schemas.microsoft.com/office/2011/relationships/chartStyle" Target="style99.xml"/></Relationships>
</file>

<file path=xl/charts/_rels/chart100.xml.rels><?xml version="1.0" encoding="UTF-8" standalone="yes"?>
<Relationships xmlns="http://schemas.openxmlformats.org/package/2006/relationships"><Relationship Id="rId2" Type="http://schemas.microsoft.com/office/2011/relationships/chartColorStyle" Target="colors100.xml"/><Relationship Id="rId1" Type="http://schemas.microsoft.com/office/2011/relationships/chartStyle" Target="style100.xml"/></Relationships>
</file>

<file path=xl/charts/_rels/chart101.xml.rels><?xml version="1.0" encoding="UTF-8" standalone="yes"?>
<Relationships xmlns="http://schemas.openxmlformats.org/package/2006/relationships"><Relationship Id="rId2" Type="http://schemas.microsoft.com/office/2011/relationships/chartColorStyle" Target="colors101.xml"/><Relationship Id="rId1" Type="http://schemas.microsoft.com/office/2011/relationships/chartStyle" Target="style101.xml"/></Relationships>
</file>

<file path=xl/charts/_rels/chart102.xml.rels><?xml version="1.0" encoding="UTF-8" standalone="yes"?>
<Relationships xmlns="http://schemas.openxmlformats.org/package/2006/relationships"><Relationship Id="rId2" Type="http://schemas.microsoft.com/office/2011/relationships/chartColorStyle" Target="colors102.xml"/><Relationship Id="rId1" Type="http://schemas.microsoft.com/office/2011/relationships/chartStyle" Target="style102.xml"/></Relationships>
</file>

<file path=xl/charts/_rels/chart103.xml.rels><?xml version="1.0" encoding="UTF-8" standalone="yes"?>
<Relationships xmlns="http://schemas.openxmlformats.org/package/2006/relationships"><Relationship Id="rId2" Type="http://schemas.microsoft.com/office/2011/relationships/chartColorStyle" Target="colors103.xml"/><Relationship Id="rId1" Type="http://schemas.microsoft.com/office/2011/relationships/chartStyle" Target="style103.xml"/></Relationships>
</file>

<file path=xl/charts/_rels/chart104.xml.rels><?xml version="1.0" encoding="UTF-8" standalone="yes"?>
<Relationships xmlns="http://schemas.openxmlformats.org/package/2006/relationships"><Relationship Id="rId2" Type="http://schemas.microsoft.com/office/2011/relationships/chartColorStyle" Target="colors104.xml"/><Relationship Id="rId1" Type="http://schemas.microsoft.com/office/2011/relationships/chartStyle" Target="style104.xml"/></Relationships>
</file>

<file path=xl/charts/_rels/chart105.xml.rels><?xml version="1.0" encoding="UTF-8" standalone="yes"?>
<Relationships xmlns="http://schemas.openxmlformats.org/package/2006/relationships"><Relationship Id="rId2" Type="http://schemas.microsoft.com/office/2011/relationships/chartColorStyle" Target="colors105.xml"/><Relationship Id="rId1" Type="http://schemas.microsoft.com/office/2011/relationships/chartStyle" Target="style105.xml"/></Relationships>
</file>

<file path=xl/charts/_rels/chart106.xml.rels><?xml version="1.0" encoding="UTF-8" standalone="yes"?>
<Relationships xmlns="http://schemas.openxmlformats.org/package/2006/relationships"><Relationship Id="rId2" Type="http://schemas.microsoft.com/office/2011/relationships/chartColorStyle" Target="colors106.xml"/><Relationship Id="rId1" Type="http://schemas.microsoft.com/office/2011/relationships/chartStyle" Target="style10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Prosentvis</c:v>
          </c:tx>
          <c:spPr>
            <a:solidFill>
              <a:srgbClr val="012A4C"/>
            </a:solidFill>
            <a:ln>
              <a:noFill/>
            </a:ln>
            <a:effectLst/>
          </c:spPr>
          <c:invertIfNegative val="0"/>
          <c:cat>
            <c:strRef>
              <c:f>'Utregning av grafer'!$A$3:$A$4</c:f>
              <c:strCache>
                <c:ptCount val="2"/>
                <c:pt idx="0">
                  <c:v>Ikke DPS</c:v>
                </c:pt>
                <c:pt idx="1">
                  <c:v>DPS  </c:v>
                </c:pt>
              </c:strCache>
            </c:strRef>
          </c:cat>
          <c:val>
            <c:numRef>
              <c:f>'Utregning av grafer'!$C$3:$C$4</c:f>
              <c:numCache>
                <c:formatCode>0%</c:formatCode>
                <c:ptCount val="2"/>
                <c:pt idx="0">
                  <c:v>0.92982456140350878</c:v>
                </c:pt>
                <c:pt idx="1">
                  <c:v>7.0175438596491224E-2</c:v>
                </c:pt>
              </c:numCache>
            </c:numRef>
          </c:val>
          <c:extLst>
            <c:ext xmlns:c16="http://schemas.microsoft.com/office/drawing/2014/chart" uri="{C3380CC4-5D6E-409C-BE32-E72D297353CC}">
              <c16:uniqueId val="{00000000-6733-4C89-8C77-23B926570A75}"/>
            </c:ext>
          </c:extLst>
        </c:ser>
        <c:dLbls>
          <c:showLegendKey val="0"/>
          <c:showVal val="0"/>
          <c:showCatName val="0"/>
          <c:showSerName val="0"/>
          <c:showPercent val="0"/>
          <c:showBubbleSize val="0"/>
        </c:dLbls>
        <c:gapWidth val="89"/>
        <c:overlap val="-27"/>
        <c:axId val="597566200"/>
        <c:axId val="597562264"/>
      </c:barChart>
      <c:catAx>
        <c:axId val="5975662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597562264"/>
        <c:crosses val="autoZero"/>
        <c:auto val="1"/>
        <c:lblAlgn val="ctr"/>
        <c:lblOffset val="100"/>
        <c:noMultiLvlLbl val="0"/>
      </c:catAx>
      <c:valAx>
        <c:axId val="597562264"/>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597566200"/>
        <c:crosses val="autoZero"/>
        <c:crossBetween val="between"/>
        <c:majorUnit val="0.2"/>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012A4C"/>
            </a:solidFill>
          </c:spPr>
          <c:dPt>
            <c:idx val="0"/>
            <c:bubble3D val="0"/>
            <c:spPr>
              <a:solidFill>
                <a:srgbClr val="012A4C"/>
              </a:solidFill>
              <a:ln w="19050">
                <a:solidFill>
                  <a:schemeClr val="lt1"/>
                </a:solidFill>
              </a:ln>
              <a:effectLst/>
            </c:spPr>
            <c:extLst>
              <c:ext xmlns:c16="http://schemas.microsoft.com/office/drawing/2014/chart" uri="{C3380CC4-5D6E-409C-BE32-E72D297353CC}">
                <c16:uniqueId val="{00000001-173A-4E3A-B813-72E64D6F2E65}"/>
              </c:ext>
            </c:extLst>
          </c:dPt>
          <c:dPt>
            <c:idx val="1"/>
            <c:bubble3D val="0"/>
            <c:spPr>
              <a:solidFill>
                <a:srgbClr val="D1D1D1"/>
              </a:solidFill>
              <a:ln w="19050">
                <a:solidFill>
                  <a:schemeClr val="lt1"/>
                </a:solidFill>
              </a:ln>
              <a:effectLst/>
            </c:spPr>
            <c:extLst>
              <c:ext xmlns:c16="http://schemas.microsoft.com/office/drawing/2014/chart" uri="{C3380CC4-5D6E-409C-BE32-E72D297353CC}">
                <c16:uniqueId val="{00000003-173A-4E3A-B813-72E64D6F2E65}"/>
              </c:ext>
            </c:extLst>
          </c:dPt>
          <c:dLbls>
            <c:dLbl>
              <c:idx val="0"/>
              <c:layout>
                <c:manualLayout>
                  <c:x val="-0.17202563336073548"/>
                  <c:y val="-3.1237819899115653E-2"/>
                </c:manualLayout>
              </c:layout>
              <c:spPr>
                <a:solidFill>
                  <a:srgbClr val="EFEFEF"/>
                </a:solidFill>
                <a:ln>
                  <a:solidFill>
                    <a:srgbClr val="EFEFEF"/>
                  </a:solidFill>
                </a:ln>
                <a:effectLst/>
              </c:spPr>
              <c:txPr>
                <a:bodyPr rot="0" spcFirstLastPara="1" vertOverflow="clip" horzOverflow="clip" vert="horz" wrap="square" lIns="38100" tIns="19050" rIns="38100" bIns="19050" anchor="ctr" anchorCtr="1">
                  <a:no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ellipse">
                      <a:avLst/>
                    </a:prstGeom>
                    <a:noFill/>
                    <a:ln>
                      <a:noFill/>
                    </a:ln>
                  </c15:spPr>
                  <c15:layout>
                    <c:manualLayout>
                      <c:w val="0.18335676518944771"/>
                      <c:h val="0.15917627515013452"/>
                    </c:manualLayout>
                  </c15:layout>
                </c:ext>
                <c:ext xmlns:c16="http://schemas.microsoft.com/office/drawing/2014/chart" uri="{C3380CC4-5D6E-409C-BE32-E72D297353CC}">
                  <c16:uniqueId val="{00000001-173A-4E3A-B813-72E64D6F2E65}"/>
                </c:ext>
              </c:extLst>
            </c:dLbl>
            <c:dLbl>
              <c:idx val="1"/>
              <c:delete val="1"/>
              <c:extLst>
                <c:ext xmlns:c15="http://schemas.microsoft.com/office/drawing/2012/chart" uri="{CE6537A1-D6FC-4f65-9D91-7224C49458BB}">
                  <c15:layout>
                    <c:manualLayout>
                      <c:w val="0.27826745945743964"/>
                      <c:h val="0.31296246542270384"/>
                    </c:manualLayout>
                  </c15:layout>
                </c:ext>
                <c:ext xmlns:c16="http://schemas.microsoft.com/office/drawing/2014/chart" uri="{C3380CC4-5D6E-409C-BE32-E72D297353CC}">
                  <c16:uniqueId val="{00000003-173A-4E3A-B813-72E64D6F2E65}"/>
                </c:ext>
              </c:extLst>
            </c:dLbl>
            <c:spPr>
              <a:solidFill>
                <a:srgbClr val="EFEFEF"/>
              </a:solidFill>
              <a:ln>
                <a:solidFill>
                  <a:srgbClr val="EFEFEF"/>
                </a:solidFill>
              </a:ln>
              <a:effectLst/>
            </c:spPr>
            <c:txPr>
              <a:bodyPr rot="0" spcFirstLastPara="1" vertOverflow="clip" horzOverflow="clip" vert="horz" wrap="square" lIns="38100" tIns="19050" rIns="38100" bIns="19050" anchor="ctr" anchorCtr="1">
                <a:sp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'Utregning av grafer'!$R$17:$S$17</c:f>
              <c:strCache>
                <c:ptCount val="2"/>
                <c:pt idx="0">
                  <c:v>Andel av totalverdi der miljø er brukt som tildelingskriterium</c:v>
                </c:pt>
                <c:pt idx="1">
                  <c:v>Ikke brukt miljø miljø som tildelingskritierum</c:v>
                </c:pt>
              </c:strCache>
            </c:strRef>
          </c:cat>
          <c:val>
            <c:numRef>
              <c:f>'Utregning av grafer'!$R$18:$S$18</c:f>
              <c:numCache>
                <c:formatCode>0%</c:formatCode>
                <c:ptCount val="2"/>
                <c:pt idx="0">
                  <c:v>0.56431615068833496</c:v>
                </c:pt>
                <c:pt idx="1">
                  <c:v>0.43568384931166504</c:v>
                </c:pt>
              </c:numCache>
            </c:numRef>
          </c:val>
          <c:extLst>
            <c:ext xmlns:c16="http://schemas.microsoft.com/office/drawing/2014/chart" uri="{C3380CC4-5D6E-409C-BE32-E72D297353CC}">
              <c16:uniqueId val="{00000004-173A-4E3A-B813-72E64D6F2E65}"/>
            </c:ext>
          </c:extLst>
        </c:ser>
        <c:dLbls>
          <c:showLegendKey val="0"/>
          <c:showVal val="0"/>
          <c:showCatName val="0"/>
          <c:showSerName val="0"/>
          <c:showPercent val="0"/>
          <c:showBubbleSize val="0"/>
          <c:showLeaderLines val="0"/>
        </c:dLbls>
        <c:firstSliceAng val="0"/>
        <c:holeSize val="50"/>
      </c:doughnutChart>
      <c:spPr>
        <a:noFill/>
        <a:ln>
          <a:noFill/>
        </a:ln>
        <a:effectLst/>
      </c:spPr>
    </c:plotArea>
    <c:legend>
      <c:legendPos val="l"/>
      <c:legendEntry>
        <c:idx val="1"/>
        <c:delete val="1"/>
      </c:legendEntry>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legend>
    <c:plotVisOnly val="1"/>
    <c:dispBlanksAs val="gap"/>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012A4C"/>
            </a:solidFill>
          </c:spPr>
          <c:dPt>
            <c:idx val="0"/>
            <c:bubble3D val="0"/>
            <c:spPr>
              <a:solidFill>
                <a:srgbClr val="012A4C"/>
              </a:solidFill>
              <a:ln w="19050">
                <a:solidFill>
                  <a:schemeClr val="lt1"/>
                </a:solidFill>
              </a:ln>
              <a:effectLst/>
            </c:spPr>
            <c:extLst>
              <c:ext xmlns:c16="http://schemas.microsoft.com/office/drawing/2014/chart" uri="{C3380CC4-5D6E-409C-BE32-E72D297353CC}">
                <c16:uniqueId val="{00000001-6F5B-487D-9767-F394A85C12AB}"/>
              </c:ext>
            </c:extLst>
          </c:dPt>
          <c:dPt>
            <c:idx val="1"/>
            <c:bubble3D val="0"/>
            <c:spPr>
              <a:solidFill>
                <a:srgbClr val="D1D1D1"/>
              </a:solidFill>
              <a:ln w="19050">
                <a:solidFill>
                  <a:schemeClr val="lt1"/>
                </a:solidFill>
              </a:ln>
              <a:effectLst/>
            </c:spPr>
            <c:extLst>
              <c:ext xmlns:c16="http://schemas.microsoft.com/office/drawing/2014/chart" uri="{C3380CC4-5D6E-409C-BE32-E72D297353CC}">
                <c16:uniqueId val="{00000003-6F5B-487D-9767-F394A85C12AB}"/>
              </c:ext>
            </c:extLst>
          </c:dPt>
          <c:dLbls>
            <c:dLbl>
              <c:idx val="0"/>
              <c:layout>
                <c:manualLayout>
                  <c:x val="-0.16609371496898598"/>
                  <c:y val="6.4878549021240198E-2"/>
                </c:manualLayout>
              </c:layout>
              <c:spPr>
                <a:solidFill>
                  <a:srgbClr val="EFEFEF"/>
                </a:solidFill>
                <a:ln>
                  <a:solidFill>
                    <a:srgbClr val="EFEFEF"/>
                  </a:solidFill>
                </a:ln>
                <a:effectLst/>
              </c:spPr>
              <c:txPr>
                <a:bodyPr rot="0" spcFirstLastPara="1" vertOverflow="clip" horzOverflow="clip" vert="horz" wrap="square" lIns="38100" tIns="19050" rIns="38100" bIns="19050" anchor="ctr" anchorCtr="1">
                  <a:no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ellipse">
                      <a:avLst/>
                    </a:prstGeom>
                    <a:noFill/>
                    <a:ln>
                      <a:noFill/>
                    </a:ln>
                  </c15:spPr>
                  <c15:layout>
                    <c:manualLayout>
                      <c:w val="0.18335676518944771"/>
                      <c:h val="0.15917627515013452"/>
                    </c:manualLayout>
                  </c15:layout>
                </c:ext>
                <c:ext xmlns:c16="http://schemas.microsoft.com/office/drawing/2014/chart" uri="{C3380CC4-5D6E-409C-BE32-E72D297353CC}">
                  <c16:uniqueId val="{00000001-6F5B-487D-9767-F394A85C12AB}"/>
                </c:ext>
              </c:extLst>
            </c:dLbl>
            <c:dLbl>
              <c:idx val="1"/>
              <c:delete val="1"/>
              <c:extLst>
                <c:ext xmlns:c15="http://schemas.microsoft.com/office/drawing/2012/chart" uri="{CE6537A1-D6FC-4f65-9D91-7224C49458BB}">
                  <c15:layout>
                    <c:manualLayout>
                      <c:w val="0.27826745945743964"/>
                      <c:h val="0.31296246542270384"/>
                    </c:manualLayout>
                  </c15:layout>
                </c:ext>
                <c:ext xmlns:c16="http://schemas.microsoft.com/office/drawing/2014/chart" uri="{C3380CC4-5D6E-409C-BE32-E72D297353CC}">
                  <c16:uniqueId val="{00000003-6F5B-487D-9767-F394A85C12AB}"/>
                </c:ext>
              </c:extLst>
            </c:dLbl>
            <c:spPr>
              <a:solidFill>
                <a:srgbClr val="EFEFEF"/>
              </a:solidFill>
              <a:ln>
                <a:solidFill>
                  <a:srgbClr val="EFEFEF"/>
                </a:solidFill>
              </a:ln>
              <a:effectLst/>
            </c:spPr>
            <c:txPr>
              <a:bodyPr rot="0" spcFirstLastPara="1" vertOverflow="clip" horzOverflow="clip" vert="horz" wrap="square" lIns="38100" tIns="19050" rIns="38100" bIns="19050" anchor="ctr" anchorCtr="1">
                <a:sp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'Utregning av grafer'!$I$17:$J$17</c:f>
              <c:strCache>
                <c:ptCount val="2"/>
                <c:pt idx="0">
                  <c:v>Andel  anskaffelser som har brukt miljø som tildelingskriterium</c:v>
                </c:pt>
                <c:pt idx="1">
                  <c:v>Ikke brukt miljø miljø som tildelingskritierum</c:v>
                </c:pt>
              </c:strCache>
            </c:strRef>
          </c:cat>
          <c:val>
            <c:numRef>
              <c:f>'Utregning av grafer'!$I$18:$J$18</c:f>
              <c:numCache>
                <c:formatCode>0%</c:formatCode>
                <c:ptCount val="2"/>
                <c:pt idx="0">
                  <c:v>0.41509433962264153</c:v>
                </c:pt>
                <c:pt idx="1">
                  <c:v>0.58490566037735847</c:v>
                </c:pt>
              </c:numCache>
            </c:numRef>
          </c:val>
          <c:extLst>
            <c:ext xmlns:c16="http://schemas.microsoft.com/office/drawing/2014/chart" uri="{C3380CC4-5D6E-409C-BE32-E72D297353CC}">
              <c16:uniqueId val="{00000004-6F5B-487D-9767-F394A85C12AB}"/>
            </c:ext>
          </c:extLst>
        </c:ser>
        <c:dLbls>
          <c:showLegendKey val="0"/>
          <c:showVal val="0"/>
          <c:showCatName val="0"/>
          <c:showSerName val="0"/>
          <c:showPercent val="0"/>
          <c:showBubbleSize val="0"/>
          <c:showLeaderLines val="0"/>
        </c:dLbls>
        <c:firstSliceAng val="0"/>
        <c:holeSize val="50"/>
      </c:doughnutChart>
      <c:spPr>
        <a:noFill/>
        <a:ln>
          <a:noFill/>
        </a:ln>
        <a:effectLst/>
      </c:spPr>
    </c:plotArea>
    <c:legend>
      <c:legendPos val="l"/>
      <c:legendEntry>
        <c:idx val="1"/>
        <c:delete val="1"/>
      </c:legendEntry>
      <c:layout>
        <c:manualLayout>
          <c:xMode val="edge"/>
          <c:yMode val="edge"/>
          <c:x val="1.6725487557839567E-2"/>
          <c:y val="0.36706973394540909"/>
          <c:w val="0.37470864837208545"/>
          <c:h val="0.26586053210918176"/>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legend>
    <c:plotVisOnly val="1"/>
    <c:dispBlanksAs val="gap"/>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012A4C"/>
            </a:solidFill>
          </c:spPr>
          <c:dPt>
            <c:idx val="0"/>
            <c:bubble3D val="0"/>
            <c:spPr>
              <a:solidFill>
                <a:srgbClr val="012A4C"/>
              </a:solidFill>
              <a:ln w="19050">
                <a:solidFill>
                  <a:schemeClr val="lt1"/>
                </a:solidFill>
              </a:ln>
              <a:effectLst/>
            </c:spPr>
            <c:extLst>
              <c:ext xmlns:c16="http://schemas.microsoft.com/office/drawing/2014/chart" uri="{C3380CC4-5D6E-409C-BE32-E72D297353CC}">
                <c16:uniqueId val="{00000001-E1B8-449F-A2AB-CCEB2C9C3F80}"/>
              </c:ext>
            </c:extLst>
          </c:dPt>
          <c:dPt>
            <c:idx val="1"/>
            <c:bubble3D val="0"/>
            <c:spPr>
              <a:solidFill>
                <a:srgbClr val="D1D1D1"/>
              </a:solidFill>
              <a:ln w="19050">
                <a:solidFill>
                  <a:schemeClr val="lt1"/>
                </a:solidFill>
              </a:ln>
              <a:effectLst/>
            </c:spPr>
            <c:extLst>
              <c:ext xmlns:c16="http://schemas.microsoft.com/office/drawing/2014/chart" uri="{C3380CC4-5D6E-409C-BE32-E72D297353CC}">
                <c16:uniqueId val="{00000003-E1B8-449F-A2AB-CCEB2C9C3F80}"/>
              </c:ext>
            </c:extLst>
          </c:dPt>
          <c:dLbls>
            <c:dLbl>
              <c:idx val="0"/>
              <c:layout>
                <c:manualLayout>
                  <c:x val="-0.16017995788705136"/>
                  <c:y val="0.13092754054964678"/>
                </c:manualLayout>
              </c:layout>
              <c:spPr>
                <a:solidFill>
                  <a:srgbClr val="EFEFEF"/>
                </a:solidFill>
                <a:ln>
                  <a:solidFill>
                    <a:srgbClr val="EFEFEF"/>
                  </a:solidFill>
                </a:ln>
                <a:effectLst/>
              </c:spPr>
              <c:txPr>
                <a:bodyPr rot="0" spcFirstLastPara="1" vertOverflow="clip" horzOverflow="clip" vert="horz" wrap="square" lIns="38100" tIns="19050" rIns="38100" bIns="19050" anchor="ctr" anchorCtr="1">
                  <a:no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ellipse">
                      <a:avLst/>
                    </a:prstGeom>
                    <a:noFill/>
                    <a:ln>
                      <a:noFill/>
                    </a:ln>
                  </c15:spPr>
                  <c15:layout>
                    <c:manualLayout>
                      <c:w val="0.18335676518944771"/>
                      <c:h val="0.15917627515013452"/>
                    </c:manualLayout>
                  </c15:layout>
                </c:ext>
                <c:ext xmlns:c16="http://schemas.microsoft.com/office/drawing/2014/chart" uri="{C3380CC4-5D6E-409C-BE32-E72D297353CC}">
                  <c16:uniqueId val="{00000001-E1B8-449F-A2AB-CCEB2C9C3F80}"/>
                </c:ext>
              </c:extLst>
            </c:dLbl>
            <c:dLbl>
              <c:idx val="1"/>
              <c:delete val="1"/>
              <c:extLst>
                <c:ext xmlns:c15="http://schemas.microsoft.com/office/drawing/2012/chart" uri="{CE6537A1-D6FC-4f65-9D91-7224C49458BB}">
                  <c15:layout>
                    <c:manualLayout>
                      <c:w val="0.27826745945743964"/>
                      <c:h val="0.31296246542270384"/>
                    </c:manualLayout>
                  </c15:layout>
                </c:ext>
                <c:ext xmlns:c16="http://schemas.microsoft.com/office/drawing/2014/chart" uri="{C3380CC4-5D6E-409C-BE32-E72D297353CC}">
                  <c16:uniqueId val="{00000003-E1B8-449F-A2AB-CCEB2C9C3F80}"/>
                </c:ext>
              </c:extLst>
            </c:dLbl>
            <c:spPr>
              <a:solidFill>
                <a:srgbClr val="EFEFEF"/>
              </a:solidFill>
              <a:ln>
                <a:solidFill>
                  <a:srgbClr val="EFEFEF"/>
                </a:solidFill>
              </a:ln>
              <a:effectLst/>
            </c:spPr>
            <c:txPr>
              <a:bodyPr rot="0" spcFirstLastPara="1" vertOverflow="clip" horzOverflow="clip" vert="horz" wrap="square" lIns="38100" tIns="19050" rIns="38100" bIns="19050" anchor="ctr" anchorCtr="1">
                <a:sp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'Utregning av grafer'!$I$26:$J$26</c:f>
              <c:strCache>
                <c:ptCount val="2"/>
                <c:pt idx="0">
                  <c:v>Andel  anskaffelser som har brukt miljømerke som tildelingskriterium</c:v>
                </c:pt>
                <c:pt idx="1">
                  <c:v>Ikke brukt miljø miljø som tildelingskritierum</c:v>
                </c:pt>
              </c:strCache>
            </c:strRef>
          </c:cat>
          <c:val>
            <c:numRef>
              <c:f>'Utregning av grafer'!$I$27:$J$27</c:f>
              <c:numCache>
                <c:formatCode>0%</c:formatCode>
                <c:ptCount val="2"/>
                <c:pt idx="0">
                  <c:v>0.33962264150943394</c:v>
                </c:pt>
                <c:pt idx="1">
                  <c:v>0.66037735849056611</c:v>
                </c:pt>
              </c:numCache>
            </c:numRef>
          </c:val>
          <c:extLst>
            <c:ext xmlns:c16="http://schemas.microsoft.com/office/drawing/2014/chart" uri="{C3380CC4-5D6E-409C-BE32-E72D297353CC}">
              <c16:uniqueId val="{00000004-E1B8-449F-A2AB-CCEB2C9C3F80}"/>
            </c:ext>
          </c:extLst>
        </c:ser>
        <c:dLbls>
          <c:showLegendKey val="0"/>
          <c:showVal val="0"/>
          <c:showCatName val="0"/>
          <c:showSerName val="0"/>
          <c:showPercent val="0"/>
          <c:showBubbleSize val="0"/>
          <c:showLeaderLines val="0"/>
        </c:dLbls>
        <c:firstSliceAng val="0"/>
        <c:holeSize val="50"/>
      </c:doughnutChart>
      <c:spPr>
        <a:noFill/>
        <a:ln>
          <a:noFill/>
        </a:ln>
        <a:effectLst/>
      </c:spPr>
    </c:plotArea>
    <c:legend>
      <c:legendPos val="l"/>
      <c:legendEntry>
        <c:idx val="1"/>
        <c:delete val="1"/>
      </c:legendEntry>
      <c:layout>
        <c:manualLayout>
          <c:xMode val="edge"/>
          <c:yMode val="edge"/>
          <c:x val="1.6551724137931035E-2"/>
          <c:y val="0.37550928783504628"/>
          <c:w val="0.38574705403203907"/>
          <c:h val="0.24898142432990744"/>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legend>
    <c:plotVisOnly val="1"/>
    <c:dispBlanksAs val="gap"/>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012A4C"/>
            </a:solidFill>
          </c:spPr>
          <c:dPt>
            <c:idx val="0"/>
            <c:bubble3D val="0"/>
            <c:spPr>
              <a:solidFill>
                <a:srgbClr val="012A4C"/>
              </a:solidFill>
              <a:ln w="19050">
                <a:solidFill>
                  <a:schemeClr val="lt1"/>
                </a:solidFill>
              </a:ln>
              <a:effectLst/>
            </c:spPr>
            <c:extLst>
              <c:ext xmlns:c16="http://schemas.microsoft.com/office/drawing/2014/chart" uri="{C3380CC4-5D6E-409C-BE32-E72D297353CC}">
                <c16:uniqueId val="{00000001-0D5A-496C-94FD-E3C6FFBC6EF2}"/>
              </c:ext>
            </c:extLst>
          </c:dPt>
          <c:dPt>
            <c:idx val="1"/>
            <c:bubble3D val="0"/>
            <c:spPr>
              <a:solidFill>
                <a:srgbClr val="D1D1D1"/>
              </a:solidFill>
              <a:ln w="19050">
                <a:solidFill>
                  <a:schemeClr val="lt1"/>
                </a:solidFill>
              </a:ln>
              <a:effectLst/>
            </c:spPr>
            <c:extLst>
              <c:ext xmlns:c16="http://schemas.microsoft.com/office/drawing/2014/chart" uri="{C3380CC4-5D6E-409C-BE32-E72D297353CC}">
                <c16:uniqueId val="{00000003-0D5A-496C-94FD-E3C6FFBC6EF2}"/>
              </c:ext>
            </c:extLst>
          </c:dPt>
          <c:dLbls>
            <c:dLbl>
              <c:idx val="0"/>
              <c:layout>
                <c:manualLayout>
                  <c:x val="-0.17752107862683167"/>
                  <c:y val="4.0142275173294897E-2"/>
                </c:manualLayout>
              </c:layout>
              <c:spPr>
                <a:solidFill>
                  <a:srgbClr val="EFEFEF"/>
                </a:solidFill>
                <a:ln>
                  <a:solidFill>
                    <a:srgbClr val="EFEFEF"/>
                  </a:solidFill>
                </a:ln>
                <a:effectLst/>
              </c:spPr>
              <c:txPr>
                <a:bodyPr rot="0" spcFirstLastPara="1" vertOverflow="clip" horzOverflow="clip" vert="horz" wrap="square" lIns="38100" tIns="19050" rIns="38100" bIns="19050" anchor="ctr" anchorCtr="1">
                  <a:no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ellipse">
                      <a:avLst/>
                    </a:prstGeom>
                    <a:noFill/>
                    <a:ln>
                      <a:noFill/>
                    </a:ln>
                  </c15:spPr>
                  <c15:layout>
                    <c:manualLayout>
                      <c:w val="0.18335676518944771"/>
                      <c:h val="0.15917627515013452"/>
                    </c:manualLayout>
                  </c15:layout>
                </c:ext>
                <c:ext xmlns:c16="http://schemas.microsoft.com/office/drawing/2014/chart" uri="{C3380CC4-5D6E-409C-BE32-E72D297353CC}">
                  <c16:uniqueId val="{00000001-0D5A-496C-94FD-E3C6FFBC6EF2}"/>
                </c:ext>
              </c:extLst>
            </c:dLbl>
            <c:dLbl>
              <c:idx val="1"/>
              <c:delete val="1"/>
              <c:extLst>
                <c:ext xmlns:c15="http://schemas.microsoft.com/office/drawing/2012/chart" uri="{CE6537A1-D6FC-4f65-9D91-7224C49458BB}">
                  <c15:layout>
                    <c:manualLayout>
                      <c:w val="0.27826745945743964"/>
                      <c:h val="0.31296246542270384"/>
                    </c:manualLayout>
                  </c15:layout>
                </c:ext>
                <c:ext xmlns:c16="http://schemas.microsoft.com/office/drawing/2014/chart" uri="{C3380CC4-5D6E-409C-BE32-E72D297353CC}">
                  <c16:uniqueId val="{00000003-0D5A-496C-94FD-E3C6FFBC6EF2}"/>
                </c:ext>
              </c:extLst>
            </c:dLbl>
            <c:spPr>
              <a:solidFill>
                <a:srgbClr val="EFEFEF"/>
              </a:solidFill>
              <a:ln>
                <a:solidFill>
                  <a:srgbClr val="EFEFEF"/>
                </a:solidFill>
              </a:ln>
              <a:effectLst/>
            </c:spPr>
            <c:txPr>
              <a:bodyPr rot="0" spcFirstLastPara="1" vertOverflow="clip" horzOverflow="clip" vert="horz" wrap="square" lIns="38100" tIns="19050" rIns="38100" bIns="19050" anchor="ctr" anchorCtr="1">
                <a:sp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'Utregning av grafer'!$R$26:$S$26</c:f>
              <c:strCache>
                <c:ptCount val="2"/>
                <c:pt idx="0">
                  <c:v>Andel av totalverdi der miljømerke er brukt som tildelingskriterium</c:v>
                </c:pt>
                <c:pt idx="1">
                  <c:v>Ikke brukt miljø miljø som tildelingskritierum</c:v>
                </c:pt>
              </c:strCache>
            </c:strRef>
          </c:cat>
          <c:val>
            <c:numRef>
              <c:f>'Utregning av grafer'!$R$27:$S$27</c:f>
              <c:numCache>
                <c:formatCode>0%</c:formatCode>
                <c:ptCount val="2"/>
                <c:pt idx="0">
                  <c:v>0.46212988287442602</c:v>
                </c:pt>
                <c:pt idx="1">
                  <c:v>0.53787011712557398</c:v>
                </c:pt>
              </c:numCache>
            </c:numRef>
          </c:val>
          <c:extLst>
            <c:ext xmlns:c16="http://schemas.microsoft.com/office/drawing/2014/chart" uri="{C3380CC4-5D6E-409C-BE32-E72D297353CC}">
              <c16:uniqueId val="{00000004-0D5A-496C-94FD-E3C6FFBC6EF2}"/>
            </c:ext>
          </c:extLst>
        </c:ser>
        <c:dLbls>
          <c:showLegendKey val="0"/>
          <c:showVal val="0"/>
          <c:showCatName val="0"/>
          <c:showSerName val="0"/>
          <c:showPercent val="0"/>
          <c:showBubbleSize val="0"/>
          <c:showLeaderLines val="0"/>
        </c:dLbls>
        <c:firstSliceAng val="0"/>
        <c:holeSize val="50"/>
      </c:doughnutChart>
      <c:spPr>
        <a:noFill/>
        <a:ln>
          <a:noFill/>
        </a:ln>
        <a:effectLst/>
      </c:spPr>
    </c:plotArea>
    <c:legend>
      <c:legendPos val="l"/>
      <c:legendEntry>
        <c:idx val="1"/>
        <c:delete val="1"/>
      </c:legendEntry>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legend>
    <c:plotVisOnly val="1"/>
    <c:dispBlanksAs val="gap"/>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012A4C"/>
            </a:solidFill>
          </c:spPr>
          <c:dPt>
            <c:idx val="0"/>
            <c:bubble3D val="0"/>
            <c:spPr>
              <a:solidFill>
                <a:srgbClr val="012A4C"/>
              </a:solidFill>
              <a:ln w="19050">
                <a:solidFill>
                  <a:schemeClr val="lt1"/>
                </a:solidFill>
              </a:ln>
              <a:effectLst/>
            </c:spPr>
            <c:extLst>
              <c:ext xmlns:c16="http://schemas.microsoft.com/office/drawing/2014/chart" uri="{C3380CC4-5D6E-409C-BE32-E72D297353CC}">
                <c16:uniqueId val="{00000001-4E5C-4D17-BB5C-57BB03A8101F}"/>
              </c:ext>
            </c:extLst>
          </c:dPt>
          <c:dPt>
            <c:idx val="1"/>
            <c:bubble3D val="0"/>
            <c:spPr>
              <a:solidFill>
                <a:srgbClr val="D1D1D1"/>
              </a:solidFill>
              <a:ln w="19050">
                <a:solidFill>
                  <a:schemeClr val="lt1"/>
                </a:solidFill>
              </a:ln>
              <a:effectLst/>
            </c:spPr>
            <c:extLst>
              <c:ext xmlns:c16="http://schemas.microsoft.com/office/drawing/2014/chart" uri="{C3380CC4-5D6E-409C-BE32-E72D297353CC}">
                <c16:uniqueId val="{00000003-4E5C-4D17-BB5C-57BB03A8101F}"/>
              </c:ext>
            </c:extLst>
          </c:dPt>
          <c:dLbls>
            <c:dLbl>
              <c:idx val="0"/>
              <c:layout>
                <c:manualLayout>
                  <c:x val="-0.11052478957371707"/>
                  <c:y val="0.2377829816249151"/>
                </c:manualLayout>
              </c:layout>
              <c:spPr>
                <a:solidFill>
                  <a:srgbClr val="EFEFEF"/>
                </a:solidFill>
                <a:ln>
                  <a:solidFill>
                    <a:srgbClr val="EFEFEF"/>
                  </a:solidFill>
                </a:ln>
                <a:effectLst/>
              </c:spPr>
              <c:txPr>
                <a:bodyPr rot="0" spcFirstLastPara="1" vertOverflow="clip" horzOverflow="clip" vert="horz" wrap="square" lIns="38100" tIns="19050" rIns="38100" bIns="19050" anchor="ctr" anchorCtr="1">
                  <a:no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ellipse">
                      <a:avLst/>
                    </a:prstGeom>
                    <a:noFill/>
                    <a:ln>
                      <a:noFill/>
                    </a:ln>
                  </c15:spPr>
                  <c15:layout>
                    <c:manualLayout>
                      <c:w val="0.18335676518944771"/>
                      <c:h val="0.15917627515013452"/>
                    </c:manualLayout>
                  </c15:layout>
                </c:ext>
                <c:ext xmlns:c16="http://schemas.microsoft.com/office/drawing/2014/chart" uri="{C3380CC4-5D6E-409C-BE32-E72D297353CC}">
                  <c16:uniqueId val="{00000001-4E5C-4D17-BB5C-57BB03A8101F}"/>
                </c:ext>
              </c:extLst>
            </c:dLbl>
            <c:dLbl>
              <c:idx val="1"/>
              <c:delete val="1"/>
              <c:extLst>
                <c:ext xmlns:c15="http://schemas.microsoft.com/office/drawing/2012/chart" uri="{CE6537A1-D6FC-4f65-9D91-7224C49458BB}">
                  <c15:layout>
                    <c:manualLayout>
                      <c:w val="0.27826745945743964"/>
                      <c:h val="0.31296246542270384"/>
                    </c:manualLayout>
                  </c15:layout>
                </c:ext>
                <c:ext xmlns:c16="http://schemas.microsoft.com/office/drawing/2014/chart" uri="{C3380CC4-5D6E-409C-BE32-E72D297353CC}">
                  <c16:uniqueId val="{00000003-4E5C-4D17-BB5C-57BB03A8101F}"/>
                </c:ext>
              </c:extLst>
            </c:dLbl>
            <c:spPr>
              <a:solidFill>
                <a:srgbClr val="EFEFEF"/>
              </a:solidFill>
              <a:ln>
                <a:solidFill>
                  <a:srgbClr val="EFEFEF"/>
                </a:solidFill>
              </a:ln>
              <a:effectLst/>
            </c:spPr>
            <c:txPr>
              <a:bodyPr rot="0" spcFirstLastPara="1" vertOverflow="clip" horzOverflow="clip" vert="horz" wrap="square" lIns="38100" tIns="19050" rIns="38100" bIns="19050" anchor="ctr" anchorCtr="1">
                <a:sp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'Utregning av grafer'!$I$34:$J$34</c:f>
              <c:strCache>
                <c:ptCount val="2"/>
                <c:pt idx="0">
                  <c:v>Andel  anskaffelser som har brukt EPD som tildelingskriterium</c:v>
                </c:pt>
                <c:pt idx="1">
                  <c:v>Ikke brukt miljø miljø som tildelingskritierum</c:v>
                </c:pt>
              </c:strCache>
            </c:strRef>
          </c:cat>
          <c:val>
            <c:numRef>
              <c:f>'Utregning av grafer'!$I$35:$J$35</c:f>
              <c:numCache>
                <c:formatCode>0%</c:formatCode>
                <c:ptCount val="2"/>
                <c:pt idx="0">
                  <c:v>0.20754716981132076</c:v>
                </c:pt>
                <c:pt idx="1">
                  <c:v>0.79245283018867929</c:v>
                </c:pt>
              </c:numCache>
            </c:numRef>
          </c:val>
          <c:extLst>
            <c:ext xmlns:c16="http://schemas.microsoft.com/office/drawing/2014/chart" uri="{C3380CC4-5D6E-409C-BE32-E72D297353CC}">
              <c16:uniqueId val="{00000004-4E5C-4D17-BB5C-57BB03A8101F}"/>
            </c:ext>
          </c:extLst>
        </c:ser>
        <c:dLbls>
          <c:showLegendKey val="0"/>
          <c:showVal val="0"/>
          <c:showCatName val="0"/>
          <c:showSerName val="0"/>
          <c:showPercent val="0"/>
          <c:showBubbleSize val="0"/>
          <c:showLeaderLines val="0"/>
        </c:dLbls>
        <c:firstSliceAng val="0"/>
        <c:holeSize val="50"/>
      </c:doughnutChart>
      <c:spPr>
        <a:noFill/>
        <a:ln>
          <a:noFill/>
        </a:ln>
        <a:effectLst/>
      </c:spPr>
    </c:plotArea>
    <c:legend>
      <c:legendPos val="l"/>
      <c:legendEntry>
        <c:idx val="1"/>
        <c:delete val="1"/>
      </c:legendEntry>
      <c:layout>
        <c:manualLayout>
          <c:xMode val="edge"/>
          <c:yMode val="edge"/>
          <c:x val="1.6551724137931035E-2"/>
          <c:y val="0.37550916145655766"/>
          <c:w val="0.36367808851479777"/>
          <c:h val="0.36865931389789075"/>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legend>
    <c:plotVisOnly val="1"/>
    <c:dispBlanksAs val="gap"/>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012A4C"/>
            </a:solidFill>
          </c:spPr>
          <c:dPt>
            <c:idx val="0"/>
            <c:bubble3D val="0"/>
            <c:spPr>
              <a:solidFill>
                <a:srgbClr val="012A4C"/>
              </a:solidFill>
              <a:ln w="19050">
                <a:solidFill>
                  <a:schemeClr val="lt1"/>
                </a:solidFill>
              </a:ln>
              <a:effectLst/>
            </c:spPr>
            <c:extLst>
              <c:ext xmlns:c16="http://schemas.microsoft.com/office/drawing/2014/chart" uri="{C3380CC4-5D6E-409C-BE32-E72D297353CC}">
                <c16:uniqueId val="{00000001-3948-4FBA-A898-11263411713D}"/>
              </c:ext>
            </c:extLst>
          </c:dPt>
          <c:dPt>
            <c:idx val="1"/>
            <c:bubble3D val="0"/>
            <c:spPr>
              <a:solidFill>
                <a:srgbClr val="D1D1D1"/>
              </a:solidFill>
              <a:ln w="19050">
                <a:solidFill>
                  <a:schemeClr val="lt1"/>
                </a:solidFill>
              </a:ln>
              <a:effectLst/>
            </c:spPr>
            <c:extLst>
              <c:ext xmlns:c16="http://schemas.microsoft.com/office/drawing/2014/chart" uri="{C3380CC4-5D6E-409C-BE32-E72D297353CC}">
                <c16:uniqueId val="{00000003-3948-4FBA-A898-11263411713D}"/>
              </c:ext>
            </c:extLst>
          </c:dPt>
          <c:dLbls>
            <c:dLbl>
              <c:idx val="0"/>
              <c:layout>
                <c:manualLayout>
                  <c:x val="-7.8249986952262485E-2"/>
                  <c:y val="0.25077697671269972"/>
                </c:manualLayout>
              </c:layout>
              <c:spPr>
                <a:solidFill>
                  <a:srgbClr val="EFEFEF"/>
                </a:solidFill>
                <a:ln>
                  <a:solidFill>
                    <a:srgbClr val="EFEFEF"/>
                  </a:solidFill>
                </a:ln>
                <a:effectLst/>
              </c:spPr>
              <c:txPr>
                <a:bodyPr rot="0" spcFirstLastPara="1" vertOverflow="clip" horzOverflow="clip" vert="horz" wrap="square" lIns="38100" tIns="19050" rIns="38100" bIns="19050" anchor="ctr" anchorCtr="1">
                  <a:no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ellipse">
                      <a:avLst/>
                    </a:prstGeom>
                    <a:noFill/>
                    <a:ln>
                      <a:noFill/>
                    </a:ln>
                  </c15:spPr>
                  <c15:layout>
                    <c:manualLayout>
                      <c:w val="0.22917406739944041"/>
                      <c:h val="0.21076022204170047"/>
                    </c:manualLayout>
                  </c15:layout>
                </c:ext>
                <c:ext xmlns:c16="http://schemas.microsoft.com/office/drawing/2014/chart" uri="{C3380CC4-5D6E-409C-BE32-E72D297353CC}">
                  <c16:uniqueId val="{00000001-3948-4FBA-A898-11263411713D}"/>
                </c:ext>
              </c:extLst>
            </c:dLbl>
            <c:dLbl>
              <c:idx val="1"/>
              <c:delete val="1"/>
              <c:extLst>
                <c:ext xmlns:c15="http://schemas.microsoft.com/office/drawing/2012/chart" uri="{CE6537A1-D6FC-4f65-9D91-7224C49458BB}">
                  <c15:layout>
                    <c:manualLayout>
                      <c:w val="0.27826745945743964"/>
                      <c:h val="0.31296246542270384"/>
                    </c:manualLayout>
                  </c15:layout>
                </c:ext>
                <c:ext xmlns:c16="http://schemas.microsoft.com/office/drawing/2014/chart" uri="{C3380CC4-5D6E-409C-BE32-E72D297353CC}">
                  <c16:uniqueId val="{00000003-3948-4FBA-A898-11263411713D}"/>
                </c:ext>
              </c:extLst>
            </c:dLbl>
            <c:spPr>
              <a:solidFill>
                <a:srgbClr val="EFEFEF"/>
              </a:solidFill>
              <a:ln>
                <a:solidFill>
                  <a:srgbClr val="EFEFEF"/>
                </a:solidFill>
              </a:ln>
              <a:effectLst/>
            </c:spPr>
            <c:txPr>
              <a:bodyPr rot="0" spcFirstLastPara="1" vertOverflow="clip" horzOverflow="clip" vert="horz" wrap="square" lIns="38100" tIns="19050" rIns="38100" bIns="19050" anchor="ctr" anchorCtr="1">
                <a:sp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'Utregning av grafer'!$R$34:$S$34</c:f>
              <c:strCache>
                <c:ptCount val="2"/>
                <c:pt idx="0">
                  <c:v>Andel av totalverdi der EPD er brukt som tildelingskriterium</c:v>
                </c:pt>
                <c:pt idx="1">
                  <c:v>Ikke brukt EPD som tildelingskritierum</c:v>
                </c:pt>
              </c:strCache>
            </c:strRef>
          </c:cat>
          <c:val>
            <c:numRef>
              <c:f>'Utregning av grafer'!$R$35:$S$35</c:f>
              <c:numCache>
                <c:formatCode>0%</c:formatCode>
                <c:ptCount val="2"/>
                <c:pt idx="0">
                  <c:v>0.14709566623941353</c:v>
                </c:pt>
                <c:pt idx="1">
                  <c:v>0.8529043337605865</c:v>
                </c:pt>
              </c:numCache>
            </c:numRef>
          </c:val>
          <c:extLst>
            <c:ext xmlns:c16="http://schemas.microsoft.com/office/drawing/2014/chart" uri="{C3380CC4-5D6E-409C-BE32-E72D297353CC}">
              <c16:uniqueId val="{00000004-3948-4FBA-A898-11263411713D}"/>
            </c:ext>
          </c:extLst>
        </c:ser>
        <c:dLbls>
          <c:showLegendKey val="0"/>
          <c:showVal val="0"/>
          <c:showCatName val="0"/>
          <c:showSerName val="0"/>
          <c:showPercent val="0"/>
          <c:showBubbleSize val="0"/>
          <c:showLeaderLines val="0"/>
        </c:dLbls>
        <c:firstSliceAng val="0"/>
        <c:holeSize val="50"/>
      </c:doughnutChart>
      <c:spPr>
        <a:noFill/>
        <a:ln>
          <a:noFill/>
        </a:ln>
        <a:effectLst/>
      </c:spPr>
    </c:plotArea>
    <c:legend>
      <c:legendPos val="l"/>
      <c:legendEntry>
        <c:idx val="1"/>
        <c:delete val="1"/>
      </c:legendEntry>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legend>
    <c:plotVisOnly val="1"/>
    <c:dispBlanksAs val="gap"/>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012A4C"/>
            </a:solidFill>
          </c:spPr>
          <c:dPt>
            <c:idx val="0"/>
            <c:bubble3D val="0"/>
            <c:spPr>
              <a:solidFill>
                <a:srgbClr val="012A4C"/>
              </a:solidFill>
              <a:ln w="19050">
                <a:solidFill>
                  <a:schemeClr val="lt1"/>
                </a:solidFill>
              </a:ln>
              <a:effectLst/>
            </c:spPr>
            <c:extLst>
              <c:ext xmlns:c16="http://schemas.microsoft.com/office/drawing/2014/chart" uri="{C3380CC4-5D6E-409C-BE32-E72D297353CC}">
                <c16:uniqueId val="{00000001-AC63-4819-B405-D684229126B3}"/>
              </c:ext>
            </c:extLst>
          </c:dPt>
          <c:dPt>
            <c:idx val="1"/>
            <c:bubble3D val="0"/>
            <c:spPr>
              <a:solidFill>
                <a:srgbClr val="D1D1D1"/>
              </a:solidFill>
              <a:ln w="19050">
                <a:solidFill>
                  <a:schemeClr val="lt1"/>
                </a:solidFill>
              </a:ln>
              <a:effectLst/>
            </c:spPr>
            <c:extLst>
              <c:ext xmlns:c16="http://schemas.microsoft.com/office/drawing/2014/chart" uri="{C3380CC4-5D6E-409C-BE32-E72D297353CC}">
                <c16:uniqueId val="{00000003-AC63-4819-B405-D684229126B3}"/>
              </c:ext>
            </c:extLst>
          </c:dPt>
          <c:dLbls>
            <c:dLbl>
              <c:idx val="0"/>
              <c:layout>
                <c:manualLayout>
                  <c:x val="-0.16569720336682053"/>
                  <c:y val="0.13520182707536685"/>
                </c:manualLayout>
              </c:layout>
              <c:spPr>
                <a:solidFill>
                  <a:srgbClr val="EFEFEF"/>
                </a:solidFill>
                <a:ln>
                  <a:solidFill>
                    <a:srgbClr val="EFEFEF"/>
                  </a:solidFill>
                </a:ln>
                <a:effectLst/>
              </c:spPr>
              <c:txPr>
                <a:bodyPr rot="0" spcFirstLastPara="1" vertOverflow="clip" horzOverflow="clip" vert="horz" wrap="square" lIns="38100" tIns="19050" rIns="38100" bIns="19050" anchor="ctr" anchorCtr="1">
                  <a:no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ellipse">
                      <a:avLst/>
                    </a:prstGeom>
                    <a:noFill/>
                    <a:ln>
                      <a:noFill/>
                    </a:ln>
                  </c15:spPr>
                  <c15:layout>
                    <c:manualLayout>
                      <c:w val="0.18335676518944771"/>
                      <c:h val="0.15917627515013452"/>
                    </c:manualLayout>
                  </c15:layout>
                </c:ext>
                <c:ext xmlns:c16="http://schemas.microsoft.com/office/drawing/2014/chart" uri="{C3380CC4-5D6E-409C-BE32-E72D297353CC}">
                  <c16:uniqueId val="{00000001-AC63-4819-B405-D684229126B3}"/>
                </c:ext>
              </c:extLst>
            </c:dLbl>
            <c:dLbl>
              <c:idx val="1"/>
              <c:delete val="1"/>
              <c:extLst>
                <c:ext xmlns:c15="http://schemas.microsoft.com/office/drawing/2012/chart" uri="{CE6537A1-D6FC-4f65-9D91-7224C49458BB}">
                  <c15:layout>
                    <c:manualLayout>
                      <c:w val="0.27826745945743964"/>
                      <c:h val="0.31296246542270384"/>
                    </c:manualLayout>
                  </c15:layout>
                </c:ext>
                <c:ext xmlns:c16="http://schemas.microsoft.com/office/drawing/2014/chart" uri="{C3380CC4-5D6E-409C-BE32-E72D297353CC}">
                  <c16:uniqueId val="{00000003-AC63-4819-B405-D684229126B3}"/>
                </c:ext>
              </c:extLst>
            </c:dLbl>
            <c:spPr>
              <a:solidFill>
                <a:srgbClr val="EFEFEF"/>
              </a:solidFill>
              <a:ln>
                <a:solidFill>
                  <a:srgbClr val="EFEFEF"/>
                </a:solidFill>
              </a:ln>
              <a:effectLst/>
            </c:spPr>
            <c:txPr>
              <a:bodyPr rot="0" spcFirstLastPara="1" vertOverflow="clip" horzOverflow="clip" vert="horz" wrap="square" lIns="38100" tIns="19050" rIns="38100" bIns="19050" anchor="ctr" anchorCtr="1">
                <a:sp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'Utregning av grafer'!$I$42:$J$42</c:f>
              <c:strCache>
                <c:ptCount val="2"/>
                <c:pt idx="0">
                  <c:v>Andel  anskaffelser som har brukt miljø som  kontraktsvilkår</c:v>
                </c:pt>
                <c:pt idx="1">
                  <c:v>Ikke brukt miljø  som kontraktsvilkår'</c:v>
                </c:pt>
              </c:strCache>
            </c:strRef>
          </c:cat>
          <c:val>
            <c:numRef>
              <c:f>'Utregning av grafer'!$I$43:$J$43</c:f>
              <c:numCache>
                <c:formatCode>0%</c:formatCode>
                <c:ptCount val="2"/>
                <c:pt idx="0">
                  <c:v>0.33962264150943394</c:v>
                </c:pt>
                <c:pt idx="1">
                  <c:v>0.66037735849056611</c:v>
                </c:pt>
              </c:numCache>
            </c:numRef>
          </c:val>
          <c:extLst>
            <c:ext xmlns:c16="http://schemas.microsoft.com/office/drawing/2014/chart" uri="{C3380CC4-5D6E-409C-BE32-E72D297353CC}">
              <c16:uniqueId val="{00000004-AC63-4819-B405-D684229126B3}"/>
            </c:ext>
          </c:extLst>
        </c:ser>
        <c:dLbls>
          <c:showLegendKey val="0"/>
          <c:showVal val="0"/>
          <c:showCatName val="0"/>
          <c:showSerName val="0"/>
          <c:showPercent val="0"/>
          <c:showBubbleSize val="0"/>
          <c:showLeaderLines val="0"/>
        </c:dLbls>
        <c:firstSliceAng val="0"/>
        <c:holeSize val="50"/>
      </c:doughnutChart>
      <c:spPr>
        <a:noFill/>
        <a:ln>
          <a:noFill/>
        </a:ln>
        <a:effectLst/>
      </c:spPr>
    </c:plotArea>
    <c:legend>
      <c:legendPos val="l"/>
      <c:legendEntry>
        <c:idx val="1"/>
        <c:delete val="1"/>
      </c:legendEntry>
      <c:layout>
        <c:manualLayout>
          <c:xMode val="edge"/>
          <c:yMode val="edge"/>
          <c:x val="1.6551724137931035E-2"/>
          <c:y val="0.37550928783504628"/>
          <c:w val="0.38574705403203907"/>
          <c:h val="0.24898142432990744"/>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legend>
    <c:plotVisOnly val="1"/>
    <c:dispBlanksAs val="gap"/>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012A4C"/>
            </a:solidFill>
          </c:spPr>
          <c:dPt>
            <c:idx val="0"/>
            <c:bubble3D val="0"/>
            <c:spPr>
              <a:solidFill>
                <a:srgbClr val="012A4C"/>
              </a:solidFill>
              <a:ln w="19050">
                <a:solidFill>
                  <a:schemeClr val="lt1"/>
                </a:solidFill>
              </a:ln>
              <a:effectLst/>
            </c:spPr>
            <c:extLst>
              <c:ext xmlns:c16="http://schemas.microsoft.com/office/drawing/2014/chart" uri="{C3380CC4-5D6E-409C-BE32-E72D297353CC}">
                <c16:uniqueId val="{00000001-36EE-4C9A-B69B-902777FE03C9}"/>
              </c:ext>
            </c:extLst>
          </c:dPt>
          <c:dPt>
            <c:idx val="1"/>
            <c:bubble3D val="0"/>
            <c:spPr>
              <a:solidFill>
                <a:srgbClr val="D1D1D1"/>
              </a:solidFill>
              <a:ln w="19050">
                <a:solidFill>
                  <a:schemeClr val="lt1"/>
                </a:solidFill>
              </a:ln>
              <a:effectLst/>
            </c:spPr>
            <c:extLst>
              <c:ext xmlns:c16="http://schemas.microsoft.com/office/drawing/2014/chart" uri="{C3380CC4-5D6E-409C-BE32-E72D297353CC}">
                <c16:uniqueId val="{00000003-36EE-4C9A-B69B-902777FE03C9}"/>
              </c:ext>
            </c:extLst>
          </c:dPt>
          <c:dLbls>
            <c:dLbl>
              <c:idx val="0"/>
              <c:layout>
                <c:manualLayout>
                  <c:x val="-0.16499206786303436"/>
                  <c:y val="9.1601724492185246E-2"/>
                </c:manualLayout>
              </c:layout>
              <c:spPr>
                <a:solidFill>
                  <a:srgbClr val="EFEFEF"/>
                </a:solidFill>
                <a:ln>
                  <a:solidFill>
                    <a:srgbClr val="EFEFEF"/>
                  </a:solidFill>
                </a:ln>
                <a:effectLst/>
              </c:spPr>
              <c:txPr>
                <a:bodyPr rot="0" spcFirstLastPara="1" vertOverflow="clip" horzOverflow="clip" vert="horz" wrap="square" lIns="38100" tIns="19050" rIns="38100" bIns="19050" anchor="ctr" anchorCtr="1">
                  <a:no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ellipse">
                      <a:avLst/>
                    </a:prstGeom>
                    <a:noFill/>
                    <a:ln>
                      <a:noFill/>
                    </a:ln>
                  </c15:spPr>
                  <c15:layout>
                    <c:manualLayout>
                      <c:w val="0.20689004739980973"/>
                      <c:h val="0.23808405375429892"/>
                    </c:manualLayout>
                  </c15:layout>
                </c:ext>
                <c:ext xmlns:c16="http://schemas.microsoft.com/office/drawing/2014/chart" uri="{C3380CC4-5D6E-409C-BE32-E72D297353CC}">
                  <c16:uniqueId val="{00000001-36EE-4C9A-B69B-902777FE03C9}"/>
                </c:ext>
              </c:extLst>
            </c:dLbl>
            <c:dLbl>
              <c:idx val="1"/>
              <c:delete val="1"/>
              <c:extLst>
                <c:ext xmlns:c15="http://schemas.microsoft.com/office/drawing/2012/chart" uri="{CE6537A1-D6FC-4f65-9D91-7224C49458BB}">
                  <c15:layout>
                    <c:manualLayout>
                      <c:w val="0.27826745945743964"/>
                      <c:h val="0.31296246542270384"/>
                    </c:manualLayout>
                  </c15:layout>
                </c:ext>
                <c:ext xmlns:c16="http://schemas.microsoft.com/office/drawing/2014/chart" uri="{C3380CC4-5D6E-409C-BE32-E72D297353CC}">
                  <c16:uniqueId val="{00000003-36EE-4C9A-B69B-902777FE03C9}"/>
                </c:ext>
              </c:extLst>
            </c:dLbl>
            <c:spPr>
              <a:solidFill>
                <a:srgbClr val="EFEFEF"/>
              </a:solidFill>
              <a:ln>
                <a:solidFill>
                  <a:srgbClr val="EFEFEF"/>
                </a:solidFill>
              </a:ln>
              <a:effectLst/>
            </c:spPr>
            <c:txPr>
              <a:bodyPr rot="0" spcFirstLastPara="1" vertOverflow="clip" horzOverflow="clip" vert="horz" wrap="square" lIns="38100" tIns="19050" rIns="38100" bIns="19050" anchor="ctr" anchorCtr="1">
                <a:sp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'Utregning av grafer'!$R$42:$S$42</c:f>
              <c:strCache>
                <c:ptCount val="2"/>
                <c:pt idx="0">
                  <c:v>Andel av totalverdi der miljø er brukt som kontraktsvilkår</c:v>
                </c:pt>
                <c:pt idx="1">
                  <c:v>Ikke brukt miljø som kontraktsvilkår</c:v>
                </c:pt>
              </c:strCache>
            </c:strRef>
          </c:cat>
          <c:val>
            <c:numRef>
              <c:f>'Utregning av grafer'!$R$43:$S$43</c:f>
              <c:numCache>
                <c:formatCode>0%</c:formatCode>
                <c:ptCount val="2"/>
                <c:pt idx="0">
                  <c:v>0.40058879848309542</c:v>
                </c:pt>
                <c:pt idx="1">
                  <c:v>0.59941120151690463</c:v>
                </c:pt>
              </c:numCache>
            </c:numRef>
          </c:val>
          <c:extLst>
            <c:ext xmlns:c16="http://schemas.microsoft.com/office/drawing/2014/chart" uri="{C3380CC4-5D6E-409C-BE32-E72D297353CC}">
              <c16:uniqueId val="{00000004-36EE-4C9A-B69B-902777FE03C9}"/>
            </c:ext>
          </c:extLst>
        </c:ser>
        <c:dLbls>
          <c:showLegendKey val="0"/>
          <c:showVal val="0"/>
          <c:showCatName val="0"/>
          <c:showSerName val="0"/>
          <c:showPercent val="0"/>
          <c:showBubbleSize val="0"/>
          <c:showLeaderLines val="0"/>
        </c:dLbls>
        <c:firstSliceAng val="0"/>
        <c:holeSize val="50"/>
      </c:doughnutChart>
      <c:spPr>
        <a:noFill/>
        <a:ln>
          <a:noFill/>
        </a:ln>
        <a:effectLst/>
      </c:spPr>
    </c:plotArea>
    <c:legend>
      <c:legendPos val="l"/>
      <c:legendEntry>
        <c:idx val="1"/>
        <c:delete val="1"/>
      </c:legendEntry>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legend>
    <c:plotVisOnly val="1"/>
    <c:dispBlanksAs val="gap"/>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012A4C"/>
            </a:solidFill>
          </c:spPr>
          <c:dPt>
            <c:idx val="0"/>
            <c:bubble3D val="0"/>
            <c:spPr>
              <a:solidFill>
                <a:srgbClr val="012A4C"/>
              </a:solidFill>
              <a:ln w="19050">
                <a:solidFill>
                  <a:schemeClr val="lt1"/>
                </a:solidFill>
              </a:ln>
              <a:effectLst/>
            </c:spPr>
            <c:extLst>
              <c:ext xmlns:c16="http://schemas.microsoft.com/office/drawing/2014/chart" uri="{C3380CC4-5D6E-409C-BE32-E72D297353CC}">
                <c16:uniqueId val="{00000001-0746-418E-BA06-F30AC9A3EA1A}"/>
              </c:ext>
            </c:extLst>
          </c:dPt>
          <c:dPt>
            <c:idx val="1"/>
            <c:bubble3D val="0"/>
            <c:spPr>
              <a:solidFill>
                <a:srgbClr val="D1D1D1"/>
              </a:solidFill>
              <a:ln w="19050">
                <a:solidFill>
                  <a:schemeClr val="lt1"/>
                </a:solidFill>
              </a:ln>
              <a:effectLst/>
            </c:spPr>
            <c:extLst>
              <c:ext xmlns:c16="http://schemas.microsoft.com/office/drawing/2014/chart" uri="{C3380CC4-5D6E-409C-BE32-E72D297353CC}">
                <c16:uniqueId val="{00000003-0746-418E-BA06-F30AC9A3EA1A}"/>
              </c:ext>
            </c:extLst>
          </c:dPt>
          <c:dLbls>
            <c:dLbl>
              <c:idx val="0"/>
              <c:layout>
                <c:manualLayout>
                  <c:x val="-0.13811099647026889"/>
                  <c:y val="0.17366976003144746"/>
                </c:manualLayout>
              </c:layout>
              <c:spPr>
                <a:solidFill>
                  <a:srgbClr val="EFEFEF"/>
                </a:solidFill>
                <a:ln>
                  <a:solidFill>
                    <a:srgbClr val="EFEFEF"/>
                  </a:solidFill>
                </a:ln>
                <a:effectLst/>
              </c:spPr>
              <c:txPr>
                <a:bodyPr rot="0" spcFirstLastPara="1" vertOverflow="clip" horzOverflow="clip" vert="horz" wrap="square" lIns="38100" tIns="19050" rIns="38100" bIns="19050" anchor="ctr" anchorCtr="1">
                  <a:no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ellipse">
                      <a:avLst/>
                    </a:prstGeom>
                    <a:noFill/>
                    <a:ln>
                      <a:noFill/>
                    </a:ln>
                  </c15:spPr>
                  <c15:layout>
                    <c:manualLayout>
                      <c:w val="0.18335676518944771"/>
                      <c:h val="0.15917627515013452"/>
                    </c:manualLayout>
                  </c15:layout>
                </c:ext>
                <c:ext xmlns:c16="http://schemas.microsoft.com/office/drawing/2014/chart" uri="{C3380CC4-5D6E-409C-BE32-E72D297353CC}">
                  <c16:uniqueId val="{00000001-0746-418E-BA06-F30AC9A3EA1A}"/>
                </c:ext>
              </c:extLst>
            </c:dLbl>
            <c:dLbl>
              <c:idx val="1"/>
              <c:delete val="1"/>
              <c:extLst>
                <c:ext xmlns:c15="http://schemas.microsoft.com/office/drawing/2012/chart" uri="{CE6537A1-D6FC-4f65-9D91-7224C49458BB}">
                  <c15:layout>
                    <c:manualLayout>
                      <c:w val="0.27826745945743964"/>
                      <c:h val="0.31296246542270384"/>
                    </c:manualLayout>
                  </c15:layout>
                </c:ext>
                <c:ext xmlns:c16="http://schemas.microsoft.com/office/drawing/2014/chart" uri="{C3380CC4-5D6E-409C-BE32-E72D297353CC}">
                  <c16:uniqueId val="{00000003-0746-418E-BA06-F30AC9A3EA1A}"/>
                </c:ext>
              </c:extLst>
            </c:dLbl>
            <c:spPr>
              <a:solidFill>
                <a:srgbClr val="EFEFEF"/>
              </a:solidFill>
              <a:ln>
                <a:solidFill>
                  <a:srgbClr val="EFEFEF"/>
                </a:solidFill>
              </a:ln>
              <a:effectLst/>
            </c:spPr>
            <c:txPr>
              <a:bodyPr rot="0" spcFirstLastPara="1" vertOverflow="clip" horzOverflow="clip" vert="horz" wrap="square" lIns="38100" tIns="19050" rIns="38100" bIns="19050" anchor="ctr" anchorCtr="1">
                <a:sp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'Utregning av grafer'!$I$50:$J$50</c:f>
              <c:strCache>
                <c:ptCount val="2"/>
                <c:pt idx="0">
                  <c:v>Andel  anskaffelser som har brukt miljø som kvalifikasjonskr</c:v>
                </c:pt>
                <c:pt idx="1">
                  <c:v>Ikke brukt miljø  som kvalifikasjonskrav</c:v>
                </c:pt>
              </c:strCache>
            </c:strRef>
          </c:cat>
          <c:val>
            <c:numRef>
              <c:f>'Utregning av grafer'!$I$51:$J$51</c:f>
              <c:numCache>
                <c:formatCode>0%</c:formatCode>
                <c:ptCount val="2"/>
                <c:pt idx="0">
                  <c:v>0.28301886792452829</c:v>
                </c:pt>
                <c:pt idx="1">
                  <c:v>0.71698113207547176</c:v>
                </c:pt>
              </c:numCache>
            </c:numRef>
          </c:val>
          <c:extLst>
            <c:ext xmlns:c16="http://schemas.microsoft.com/office/drawing/2014/chart" uri="{C3380CC4-5D6E-409C-BE32-E72D297353CC}">
              <c16:uniqueId val="{00000004-0746-418E-BA06-F30AC9A3EA1A}"/>
            </c:ext>
          </c:extLst>
        </c:ser>
        <c:dLbls>
          <c:showLegendKey val="0"/>
          <c:showVal val="0"/>
          <c:showCatName val="0"/>
          <c:showSerName val="0"/>
          <c:showPercent val="0"/>
          <c:showBubbleSize val="0"/>
          <c:showLeaderLines val="0"/>
        </c:dLbls>
        <c:firstSliceAng val="0"/>
        <c:holeSize val="50"/>
      </c:doughnutChart>
      <c:spPr>
        <a:noFill/>
        <a:ln>
          <a:noFill/>
        </a:ln>
        <a:effectLst/>
      </c:spPr>
    </c:plotArea>
    <c:legend>
      <c:legendPos val="l"/>
      <c:legendEntry>
        <c:idx val="1"/>
        <c:delete val="1"/>
      </c:legendEntry>
      <c:layout>
        <c:manualLayout>
          <c:xMode val="edge"/>
          <c:yMode val="edge"/>
          <c:x val="1.6551724137931035E-2"/>
          <c:y val="0.37550928783504628"/>
          <c:w val="0.38574705403203907"/>
          <c:h val="0.24898142432990744"/>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legend>
    <c:plotVisOnly val="1"/>
    <c:dispBlanksAs val="gap"/>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012A4C"/>
            </a:solidFill>
          </c:spPr>
          <c:dPt>
            <c:idx val="0"/>
            <c:bubble3D val="0"/>
            <c:spPr>
              <a:solidFill>
                <a:srgbClr val="012A4C"/>
              </a:solidFill>
              <a:ln w="19050">
                <a:solidFill>
                  <a:schemeClr val="lt1"/>
                </a:solidFill>
              </a:ln>
              <a:effectLst/>
            </c:spPr>
            <c:extLst>
              <c:ext xmlns:c16="http://schemas.microsoft.com/office/drawing/2014/chart" uri="{C3380CC4-5D6E-409C-BE32-E72D297353CC}">
                <c16:uniqueId val="{00000001-5922-4BFC-ACA9-2B5B448BE989}"/>
              </c:ext>
            </c:extLst>
          </c:dPt>
          <c:dPt>
            <c:idx val="1"/>
            <c:bubble3D val="0"/>
            <c:spPr>
              <a:solidFill>
                <a:srgbClr val="D1D1D1"/>
              </a:solidFill>
              <a:ln w="19050">
                <a:solidFill>
                  <a:schemeClr val="lt1"/>
                </a:solidFill>
              </a:ln>
              <a:effectLst/>
            </c:spPr>
            <c:extLst>
              <c:ext xmlns:c16="http://schemas.microsoft.com/office/drawing/2014/chart" uri="{C3380CC4-5D6E-409C-BE32-E72D297353CC}">
                <c16:uniqueId val="{00000003-5922-4BFC-ACA9-2B5B448BE989}"/>
              </c:ext>
            </c:extLst>
          </c:dPt>
          <c:dLbls>
            <c:dLbl>
              <c:idx val="0"/>
              <c:layout>
                <c:manualLayout>
                  <c:x val="-0.16920115605440395"/>
                  <c:y val="8.6966842658611487E-3"/>
                </c:manualLayout>
              </c:layout>
              <c:spPr>
                <a:solidFill>
                  <a:srgbClr val="EFEFEF"/>
                </a:solidFill>
                <a:ln>
                  <a:solidFill>
                    <a:srgbClr val="EFEFEF"/>
                  </a:solidFill>
                </a:ln>
                <a:effectLst/>
              </c:spPr>
              <c:txPr>
                <a:bodyPr rot="0" spcFirstLastPara="1" vertOverflow="clip" horzOverflow="clip" vert="horz" wrap="square" lIns="38100" tIns="19050" rIns="38100" bIns="19050" anchor="ctr" anchorCtr="1">
                  <a:no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ellipse">
                      <a:avLst/>
                    </a:prstGeom>
                    <a:noFill/>
                    <a:ln>
                      <a:noFill/>
                    </a:ln>
                  </c15:spPr>
                  <c15:layout>
                    <c:manualLayout>
                      <c:w val="0.20967556210919178"/>
                      <c:h val="0.16977449508097495"/>
                    </c:manualLayout>
                  </c15:layout>
                </c:ext>
                <c:ext xmlns:c16="http://schemas.microsoft.com/office/drawing/2014/chart" uri="{C3380CC4-5D6E-409C-BE32-E72D297353CC}">
                  <c16:uniqueId val="{00000001-5922-4BFC-ACA9-2B5B448BE989}"/>
                </c:ext>
              </c:extLst>
            </c:dLbl>
            <c:dLbl>
              <c:idx val="1"/>
              <c:delete val="1"/>
              <c:extLst>
                <c:ext xmlns:c15="http://schemas.microsoft.com/office/drawing/2012/chart" uri="{CE6537A1-D6FC-4f65-9D91-7224C49458BB}">
                  <c15:layout>
                    <c:manualLayout>
                      <c:w val="0.27826745945743964"/>
                      <c:h val="0.31296246542270384"/>
                    </c:manualLayout>
                  </c15:layout>
                </c:ext>
                <c:ext xmlns:c16="http://schemas.microsoft.com/office/drawing/2014/chart" uri="{C3380CC4-5D6E-409C-BE32-E72D297353CC}">
                  <c16:uniqueId val="{00000003-5922-4BFC-ACA9-2B5B448BE989}"/>
                </c:ext>
              </c:extLst>
            </c:dLbl>
            <c:spPr>
              <a:solidFill>
                <a:srgbClr val="EFEFEF"/>
              </a:solidFill>
              <a:ln>
                <a:solidFill>
                  <a:srgbClr val="EFEFEF"/>
                </a:solidFill>
              </a:ln>
              <a:effectLst/>
            </c:spPr>
            <c:txPr>
              <a:bodyPr rot="0" spcFirstLastPara="1" vertOverflow="clip" horzOverflow="clip" vert="horz" wrap="square" lIns="38100" tIns="19050" rIns="38100" bIns="19050" anchor="ctr" anchorCtr="1">
                <a:sp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'Utregning av grafer'!$R$50:$S$50</c:f>
              <c:strCache>
                <c:ptCount val="2"/>
                <c:pt idx="0">
                  <c:v>Andel av totalverdi der miljø er brukt som kvalifikasjonskrav</c:v>
                </c:pt>
                <c:pt idx="1">
                  <c:v>Ikke brukt miljø som kvalifikasjonskrav</c:v>
                </c:pt>
              </c:strCache>
            </c:strRef>
          </c:cat>
          <c:val>
            <c:numRef>
              <c:f>'Utregning av grafer'!$R$51:$S$51</c:f>
              <c:numCache>
                <c:formatCode>0%</c:formatCode>
                <c:ptCount val="2"/>
                <c:pt idx="0">
                  <c:v>0.48162135808282891</c:v>
                </c:pt>
                <c:pt idx="1">
                  <c:v>0.51837864191717109</c:v>
                </c:pt>
              </c:numCache>
            </c:numRef>
          </c:val>
          <c:extLst>
            <c:ext xmlns:c16="http://schemas.microsoft.com/office/drawing/2014/chart" uri="{C3380CC4-5D6E-409C-BE32-E72D297353CC}">
              <c16:uniqueId val="{00000004-5922-4BFC-ACA9-2B5B448BE989}"/>
            </c:ext>
          </c:extLst>
        </c:ser>
        <c:dLbls>
          <c:showLegendKey val="0"/>
          <c:showVal val="0"/>
          <c:showCatName val="0"/>
          <c:showSerName val="0"/>
          <c:showPercent val="0"/>
          <c:showBubbleSize val="0"/>
          <c:showLeaderLines val="0"/>
        </c:dLbls>
        <c:firstSliceAng val="0"/>
        <c:holeSize val="50"/>
      </c:doughnutChart>
      <c:spPr>
        <a:noFill/>
        <a:ln>
          <a:noFill/>
        </a:ln>
        <a:effectLst/>
      </c:spPr>
    </c:plotArea>
    <c:legend>
      <c:legendPos val="l"/>
      <c:legendEntry>
        <c:idx val="1"/>
        <c:delete val="1"/>
      </c:legendEntry>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legend>
    <c:plotVisOnly val="1"/>
    <c:dispBlanksAs val="gap"/>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012A4C"/>
            </a:solidFill>
          </c:spPr>
          <c:dPt>
            <c:idx val="0"/>
            <c:bubble3D val="0"/>
            <c:spPr>
              <a:solidFill>
                <a:srgbClr val="012A4C"/>
              </a:solidFill>
              <a:ln w="19050">
                <a:solidFill>
                  <a:schemeClr val="lt1"/>
                </a:solidFill>
              </a:ln>
              <a:effectLst/>
            </c:spPr>
            <c:extLst>
              <c:ext xmlns:c16="http://schemas.microsoft.com/office/drawing/2014/chart" uri="{C3380CC4-5D6E-409C-BE32-E72D297353CC}">
                <c16:uniqueId val="{00000001-7912-4773-8B58-1C2D910ADA4B}"/>
              </c:ext>
            </c:extLst>
          </c:dPt>
          <c:dPt>
            <c:idx val="1"/>
            <c:bubble3D val="0"/>
            <c:spPr>
              <a:solidFill>
                <a:srgbClr val="D1D1D1"/>
              </a:solidFill>
              <a:ln w="19050">
                <a:solidFill>
                  <a:schemeClr val="lt1"/>
                </a:solidFill>
              </a:ln>
              <a:effectLst/>
            </c:spPr>
            <c:extLst>
              <c:ext xmlns:c16="http://schemas.microsoft.com/office/drawing/2014/chart" uri="{C3380CC4-5D6E-409C-BE32-E72D297353CC}">
                <c16:uniqueId val="{00000003-7912-4773-8B58-1C2D910ADA4B}"/>
              </c:ext>
            </c:extLst>
          </c:dPt>
          <c:dLbls>
            <c:dLbl>
              <c:idx val="0"/>
              <c:layout>
                <c:manualLayout>
                  <c:x val="-0.11880065164268259"/>
                  <c:y val="-0.21955799907515425"/>
                </c:manualLayout>
              </c:layout>
              <c:spPr>
                <a:solidFill>
                  <a:srgbClr val="EFEFEF"/>
                </a:solidFill>
                <a:ln>
                  <a:solidFill>
                    <a:srgbClr val="EFEFEF"/>
                  </a:solidFill>
                </a:ln>
                <a:effectLst/>
              </c:spPr>
              <c:txPr>
                <a:bodyPr rot="0" spcFirstLastPara="1" vertOverflow="clip" horzOverflow="clip" vert="horz" wrap="square" lIns="38100" tIns="19050" rIns="38100" bIns="19050" anchor="ctr" anchorCtr="1">
                  <a:no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ellipse">
                      <a:avLst/>
                    </a:prstGeom>
                    <a:noFill/>
                    <a:ln>
                      <a:noFill/>
                    </a:ln>
                  </c15:spPr>
                  <c15:layout>
                    <c:manualLayout>
                      <c:w val="0.18335676518944771"/>
                      <c:h val="0.15917627515013452"/>
                    </c:manualLayout>
                  </c15:layout>
                </c:ext>
                <c:ext xmlns:c16="http://schemas.microsoft.com/office/drawing/2014/chart" uri="{C3380CC4-5D6E-409C-BE32-E72D297353CC}">
                  <c16:uniqueId val="{00000001-7912-4773-8B58-1C2D910ADA4B}"/>
                </c:ext>
              </c:extLst>
            </c:dLbl>
            <c:dLbl>
              <c:idx val="1"/>
              <c:delete val="1"/>
              <c:extLst>
                <c:ext xmlns:c15="http://schemas.microsoft.com/office/drawing/2012/chart" uri="{CE6537A1-D6FC-4f65-9D91-7224C49458BB}">
                  <c15:layout>
                    <c:manualLayout>
                      <c:w val="0.27826745945743964"/>
                      <c:h val="0.31296246542270384"/>
                    </c:manualLayout>
                  </c15:layout>
                </c:ext>
                <c:ext xmlns:c16="http://schemas.microsoft.com/office/drawing/2014/chart" uri="{C3380CC4-5D6E-409C-BE32-E72D297353CC}">
                  <c16:uniqueId val="{00000003-7912-4773-8B58-1C2D910ADA4B}"/>
                </c:ext>
              </c:extLst>
            </c:dLbl>
            <c:spPr>
              <a:solidFill>
                <a:srgbClr val="EFEFEF"/>
              </a:solidFill>
              <a:ln>
                <a:solidFill>
                  <a:srgbClr val="EFEFEF"/>
                </a:solidFill>
              </a:ln>
              <a:effectLst/>
            </c:spPr>
            <c:txPr>
              <a:bodyPr rot="0" spcFirstLastPara="1" vertOverflow="clip" horzOverflow="clip" vert="horz" wrap="square" lIns="38100" tIns="19050" rIns="38100" bIns="19050" anchor="ctr" anchorCtr="1">
                <a:sp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'Utregning av grafer'!$I$58:$J$58</c:f>
              <c:strCache>
                <c:ptCount val="2"/>
                <c:pt idx="0">
                  <c:v>Andel  anskaffelser som har brukt miljø som krspesifikasjon</c:v>
                </c:pt>
                <c:pt idx="1">
                  <c:v>Ikke brukt miljø  som kravspesifikasjon</c:v>
                </c:pt>
              </c:strCache>
            </c:strRef>
          </c:cat>
          <c:val>
            <c:numRef>
              <c:f>'Utregning av grafer'!$I$59:$J$59</c:f>
              <c:numCache>
                <c:formatCode>0%</c:formatCode>
                <c:ptCount val="2"/>
                <c:pt idx="0">
                  <c:v>0.79245283018867929</c:v>
                </c:pt>
                <c:pt idx="1">
                  <c:v>0.20754716981132071</c:v>
                </c:pt>
              </c:numCache>
            </c:numRef>
          </c:val>
          <c:extLst>
            <c:ext xmlns:c16="http://schemas.microsoft.com/office/drawing/2014/chart" uri="{C3380CC4-5D6E-409C-BE32-E72D297353CC}">
              <c16:uniqueId val="{00000004-7912-4773-8B58-1C2D910ADA4B}"/>
            </c:ext>
          </c:extLst>
        </c:ser>
        <c:dLbls>
          <c:showLegendKey val="0"/>
          <c:showVal val="0"/>
          <c:showCatName val="0"/>
          <c:showSerName val="0"/>
          <c:showPercent val="0"/>
          <c:showBubbleSize val="0"/>
          <c:showLeaderLines val="0"/>
        </c:dLbls>
        <c:firstSliceAng val="0"/>
        <c:holeSize val="50"/>
      </c:doughnutChart>
      <c:spPr>
        <a:noFill/>
        <a:ln>
          <a:noFill/>
        </a:ln>
        <a:effectLst/>
      </c:spPr>
    </c:plotArea>
    <c:legend>
      <c:legendPos val="l"/>
      <c:legendEntry>
        <c:idx val="1"/>
        <c:delete val="1"/>
      </c:legendEntry>
      <c:layout>
        <c:manualLayout>
          <c:xMode val="edge"/>
          <c:yMode val="edge"/>
          <c:x val="1.6551724137931035E-2"/>
          <c:y val="0.37550928783504628"/>
          <c:w val="0.38574705403203907"/>
          <c:h val="0.24898142432990744"/>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legend>
    <c:plotVisOnly val="1"/>
    <c:dispBlanksAs val="gap"/>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012A4C"/>
            </a:solidFill>
          </c:spPr>
          <c:dPt>
            <c:idx val="0"/>
            <c:bubble3D val="0"/>
            <c:spPr>
              <a:solidFill>
                <a:srgbClr val="012A4C"/>
              </a:solidFill>
              <a:ln w="19050">
                <a:solidFill>
                  <a:schemeClr val="lt1"/>
                </a:solidFill>
              </a:ln>
              <a:effectLst/>
            </c:spPr>
            <c:extLst>
              <c:ext xmlns:c16="http://schemas.microsoft.com/office/drawing/2014/chart" uri="{C3380CC4-5D6E-409C-BE32-E72D297353CC}">
                <c16:uniqueId val="{00000001-46A8-447A-B88A-EB5F8DE76AC8}"/>
              </c:ext>
            </c:extLst>
          </c:dPt>
          <c:dPt>
            <c:idx val="1"/>
            <c:bubble3D val="0"/>
            <c:spPr>
              <a:solidFill>
                <a:srgbClr val="D1D1D1"/>
              </a:solidFill>
              <a:ln w="19050">
                <a:solidFill>
                  <a:schemeClr val="lt1"/>
                </a:solidFill>
              </a:ln>
              <a:effectLst/>
            </c:spPr>
            <c:extLst>
              <c:ext xmlns:c16="http://schemas.microsoft.com/office/drawing/2014/chart" uri="{C3380CC4-5D6E-409C-BE32-E72D297353CC}">
                <c16:uniqueId val="{00000003-46A8-447A-B88A-EB5F8DE76AC8}"/>
              </c:ext>
            </c:extLst>
          </c:dPt>
          <c:dLbls>
            <c:dLbl>
              <c:idx val="0"/>
              <c:layout>
                <c:manualLayout>
                  <c:x val="-3.9108807249898229E-2"/>
                  <c:y val="-0.27931453819560847"/>
                </c:manualLayout>
              </c:layout>
              <c:spPr>
                <a:solidFill>
                  <a:srgbClr val="EFEFEF"/>
                </a:solidFill>
                <a:ln>
                  <a:solidFill>
                    <a:srgbClr val="EFEFEF"/>
                  </a:solidFill>
                </a:ln>
                <a:effectLst/>
              </c:spPr>
              <c:txPr>
                <a:bodyPr rot="0" spcFirstLastPara="1" vertOverflow="clip" horzOverflow="clip" vert="horz" wrap="square" lIns="38100" tIns="19050" rIns="38100" bIns="19050" anchor="ctr" anchorCtr="1">
                  <a:no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ellipse">
                      <a:avLst/>
                    </a:prstGeom>
                    <a:noFill/>
                    <a:ln>
                      <a:noFill/>
                    </a:ln>
                  </c15:spPr>
                  <c15:layout>
                    <c:manualLayout>
                      <c:w val="0.22917406739944041"/>
                      <c:h val="0.21076022204170047"/>
                    </c:manualLayout>
                  </c15:layout>
                </c:ext>
                <c:ext xmlns:c16="http://schemas.microsoft.com/office/drawing/2014/chart" uri="{C3380CC4-5D6E-409C-BE32-E72D297353CC}">
                  <c16:uniqueId val="{00000001-46A8-447A-B88A-EB5F8DE76AC8}"/>
                </c:ext>
              </c:extLst>
            </c:dLbl>
            <c:dLbl>
              <c:idx val="1"/>
              <c:delete val="1"/>
              <c:extLst>
                <c:ext xmlns:c15="http://schemas.microsoft.com/office/drawing/2012/chart" uri="{CE6537A1-D6FC-4f65-9D91-7224C49458BB}">
                  <c15:layout>
                    <c:manualLayout>
                      <c:w val="0.27826745945743964"/>
                      <c:h val="0.31296246542270384"/>
                    </c:manualLayout>
                  </c15:layout>
                </c:ext>
                <c:ext xmlns:c16="http://schemas.microsoft.com/office/drawing/2014/chart" uri="{C3380CC4-5D6E-409C-BE32-E72D297353CC}">
                  <c16:uniqueId val="{00000003-46A8-447A-B88A-EB5F8DE76AC8}"/>
                </c:ext>
              </c:extLst>
            </c:dLbl>
            <c:spPr>
              <a:solidFill>
                <a:srgbClr val="EFEFEF"/>
              </a:solidFill>
              <a:ln>
                <a:solidFill>
                  <a:srgbClr val="EFEFEF"/>
                </a:solidFill>
              </a:ln>
              <a:effectLst/>
            </c:spPr>
            <c:txPr>
              <a:bodyPr rot="0" spcFirstLastPara="1" vertOverflow="clip" horzOverflow="clip" vert="horz" wrap="square" lIns="38100" tIns="19050" rIns="38100" bIns="19050" anchor="ctr" anchorCtr="1">
                <a:sp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'Utregning av grafer'!$R$58:$S$58</c:f>
              <c:strCache>
                <c:ptCount val="2"/>
                <c:pt idx="0">
                  <c:v>Andel av totalverdi der miljø er brukt som kravspesifikasjon</c:v>
                </c:pt>
                <c:pt idx="1">
                  <c:v>Ikke brukt miljø som kravspesifikasjon</c:v>
                </c:pt>
              </c:strCache>
            </c:strRef>
          </c:cat>
          <c:val>
            <c:numRef>
              <c:f>'Utregning av grafer'!$R$59:$S$59</c:f>
              <c:numCache>
                <c:formatCode>0%</c:formatCode>
                <c:ptCount val="2"/>
                <c:pt idx="0">
                  <c:v>0.95810632261873951</c:v>
                </c:pt>
                <c:pt idx="1">
                  <c:v>4.1893677381260486E-2</c:v>
                </c:pt>
              </c:numCache>
            </c:numRef>
          </c:val>
          <c:extLst>
            <c:ext xmlns:c16="http://schemas.microsoft.com/office/drawing/2014/chart" uri="{C3380CC4-5D6E-409C-BE32-E72D297353CC}">
              <c16:uniqueId val="{00000004-46A8-447A-B88A-EB5F8DE76AC8}"/>
            </c:ext>
          </c:extLst>
        </c:ser>
        <c:dLbls>
          <c:showLegendKey val="0"/>
          <c:showVal val="0"/>
          <c:showCatName val="0"/>
          <c:showSerName val="0"/>
          <c:showPercent val="0"/>
          <c:showBubbleSize val="0"/>
          <c:showLeaderLines val="0"/>
        </c:dLbls>
        <c:firstSliceAng val="0"/>
        <c:holeSize val="50"/>
      </c:doughnutChart>
      <c:spPr>
        <a:noFill/>
        <a:ln>
          <a:noFill/>
        </a:ln>
        <a:effectLst/>
      </c:spPr>
    </c:plotArea>
    <c:legend>
      <c:legendPos val="l"/>
      <c:legendEntry>
        <c:idx val="1"/>
        <c:delete val="1"/>
      </c:legendEntry>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legend>
    <c:plotVisOnly val="1"/>
    <c:dispBlanksAs val="gap"/>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012A4C"/>
            </a:solidFill>
          </c:spPr>
          <c:dPt>
            <c:idx val="0"/>
            <c:bubble3D val="0"/>
            <c:spPr>
              <a:solidFill>
                <a:srgbClr val="012A4C"/>
              </a:solidFill>
              <a:ln w="19050">
                <a:solidFill>
                  <a:schemeClr val="lt1"/>
                </a:solidFill>
              </a:ln>
              <a:effectLst/>
            </c:spPr>
            <c:extLst>
              <c:ext xmlns:c16="http://schemas.microsoft.com/office/drawing/2014/chart" uri="{C3380CC4-5D6E-409C-BE32-E72D297353CC}">
                <c16:uniqueId val="{00000001-405C-4073-B059-4C8615C2159E}"/>
              </c:ext>
            </c:extLst>
          </c:dPt>
          <c:dPt>
            <c:idx val="1"/>
            <c:bubble3D val="0"/>
            <c:spPr>
              <a:solidFill>
                <a:srgbClr val="D1D1D1"/>
              </a:solidFill>
              <a:ln w="19050">
                <a:solidFill>
                  <a:schemeClr val="lt1"/>
                </a:solidFill>
              </a:ln>
              <a:effectLst/>
            </c:spPr>
            <c:extLst>
              <c:ext xmlns:c16="http://schemas.microsoft.com/office/drawing/2014/chart" uri="{C3380CC4-5D6E-409C-BE32-E72D297353CC}">
                <c16:uniqueId val="{00000003-405C-4073-B059-4C8615C2159E}"/>
              </c:ext>
            </c:extLst>
          </c:dPt>
          <c:dLbls>
            <c:dLbl>
              <c:idx val="0"/>
              <c:layout>
                <c:manualLayout>
                  <c:x val="-0.16011491632955666"/>
                  <c:y val="8.4281366472685984E-2"/>
                </c:manualLayout>
              </c:layout>
              <c:spPr>
                <a:solidFill>
                  <a:srgbClr val="EFEFEF"/>
                </a:solidFill>
                <a:ln>
                  <a:solidFill>
                    <a:srgbClr val="EFEFEF"/>
                  </a:solidFill>
                </a:ln>
                <a:effectLst/>
              </c:spPr>
              <c:txPr>
                <a:bodyPr rot="0" spcFirstLastPara="1" vertOverflow="clip" horzOverflow="clip" vert="horz" wrap="square" lIns="38100" tIns="19050" rIns="38100" bIns="19050" anchor="ctr" anchorCtr="1">
                  <a:no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ellipse">
                      <a:avLst/>
                    </a:prstGeom>
                    <a:noFill/>
                    <a:ln>
                      <a:noFill/>
                    </a:ln>
                  </c15:spPr>
                  <c15:layout>
                    <c:manualLayout>
                      <c:w val="0.18335676518944771"/>
                      <c:h val="0.15917627515013452"/>
                    </c:manualLayout>
                  </c15:layout>
                </c:ext>
                <c:ext xmlns:c16="http://schemas.microsoft.com/office/drawing/2014/chart" uri="{C3380CC4-5D6E-409C-BE32-E72D297353CC}">
                  <c16:uniqueId val="{00000001-405C-4073-B059-4C8615C2159E}"/>
                </c:ext>
              </c:extLst>
            </c:dLbl>
            <c:dLbl>
              <c:idx val="1"/>
              <c:delete val="1"/>
              <c:extLst>
                <c:ext xmlns:c15="http://schemas.microsoft.com/office/drawing/2012/chart" uri="{CE6537A1-D6FC-4f65-9D91-7224C49458BB}">
                  <c15:layout>
                    <c:manualLayout>
                      <c:w val="0.27826745945743964"/>
                      <c:h val="0.31296246542270384"/>
                    </c:manualLayout>
                  </c15:layout>
                </c:ext>
                <c:ext xmlns:c16="http://schemas.microsoft.com/office/drawing/2014/chart" uri="{C3380CC4-5D6E-409C-BE32-E72D297353CC}">
                  <c16:uniqueId val="{00000003-405C-4073-B059-4C8615C2159E}"/>
                </c:ext>
              </c:extLst>
            </c:dLbl>
            <c:spPr>
              <a:solidFill>
                <a:srgbClr val="EFEFEF"/>
              </a:solidFill>
              <a:ln>
                <a:solidFill>
                  <a:srgbClr val="EFEFEF"/>
                </a:solidFill>
              </a:ln>
              <a:effectLst/>
            </c:spPr>
            <c:txPr>
              <a:bodyPr rot="0" spcFirstLastPara="1" vertOverflow="clip" horzOverflow="clip" vert="horz" wrap="square" lIns="38100" tIns="19050" rIns="38100" bIns="19050" anchor="ctr" anchorCtr="1">
                <a:sp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'Utregning av grafer'!$I$66:$J$66</c:f>
              <c:strCache>
                <c:ptCount val="2"/>
                <c:pt idx="0">
                  <c:v>Andel  anskaffelser som har krav til miljøledelsessystem</c:v>
                </c:pt>
                <c:pt idx="1">
                  <c:v>Ikke brukt miljøledelsessystem</c:v>
                </c:pt>
              </c:strCache>
            </c:strRef>
          </c:cat>
          <c:val>
            <c:numRef>
              <c:f>'Utregning av grafer'!$I$67:$J$67</c:f>
              <c:numCache>
                <c:formatCode>0%</c:formatCode>
                <c:ptCount val="2"/>
                <c:pt idx="0">
                  <c:v>0.41509433962264153</c:v>
                </c:pt>
                <c:pt idx="1">
                  <c:v>0.58490566037735847</c:v>
                </c:pt>
              </c:numCache>
            </c:numRef>
          </c:val>
          <c:extLst>
            <c:ext xmlns:c16="http://schemas.microsoft.com/office/drawing/2014/chart" uri="{C3380CC4-5D6E-409C-BE32-E72D297353CC}">
              <c16:uniqueId val="{00000004-405C-4073-B059-4C8615C2159E}"/>
            </c:ext>
          </c:extLst>
        </c:ser>
        <c:dLbls>
          <c:showLegendKey val="0"/>
          <c:showVal val="0"/>
          <c:showCatName val="0"/>
          <c:showSerName val="0"/>
          <c:showPercent val="0"/>
          <c:showBubbleSize val="0"/>
          <c:showLeaderLines val="0"/>
        </c:dLbls>
        <c:firstSliceAng val="0"/>
        <c:holeSize val="50"/>
      </c:doughnutChart>
      <c:spPr>
        <a:noFill/>
        <a:ln>
          <a:noFill/>
        </a:ln>
        <a:effectLst/>
      </c:spPr>
    </c:plotArea>
    <c:legend>
      <c:legendPos val="l"/>
      <c:legendEntry>
        <c:idx val="1"/>
        <c:delete val="1"/>
      </c:legendEntry>
      <c:layout>
        <c:manualLayout>
          <c:xMode val="edge"/>
          <c:yMode val="edge"/>
          <c:x val="1.6551724137931035E-2"/>
          <c:y val="0.37550928783504628"/>
          <c:w val="0.38574705403203907"/>
          <c:h val="0.24898142432990744"/>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legend>
    <c:plotVisOnly val="1"/>
    <c:dispBlanksAs val="gap"/>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012A4C"/>
            </a:solidFill>
          </c:spPr>
          <c:dPt>
            <c:idx val="0"/>
            <c:bubble3D val="0"/>
            <c:spPr>
              <a:solidFill>
                <a:srgbClr val="012A4C"/>
              </a:solidFill>
              <a:ln w="19050">
                <a:solidFill>
                  <a:schemeClr val="lt1"/>
                </a:solidFill>
              </a:ln>
              <a:effectLst/>
            </c:spPr>
            <c:extLst>
              <c:ext xmlns:c16="http://schemas.microsoft.com/office/drawing/2014/chart" uri="{C3380CC4-5D6E-409C-BE32-E72D297353CC}">
                <c16:uniqueId val="{00000001-109B-4B8A-8C5A-1359D89D6704}"/>
              </c:ext>
            </c:extLst>
          </c:dPt>
          <c:dPt>
            <c:idx val="1"/>
            <c:bubble3D val="0"/>
            <c:spPr>
              <a:solidFill>
                <a:srgbClr val="D1D1D1"/>
              </a:solidFill>
              <a:ln w="19050">
                <a:solidFill>
                  <a:schemeClr val="lt1"/>
                </a:solidFill>
              </a:ln>
              <a:effectLst/>
            </c:spPr>
            <c:extLst>
              <c:ext xmlns:c16="http://schemas.microsoft.com/office/drawing/2014/chart" uri="{C3380CC4-5D6E-409C-BE32-E72D297353CC}">
                <c16:uniqueId val="{00000003-109B-4B8A-8C5A-1359D89D6704}"/>
              </c:ext>
            </c:extLst>
          </c:dPt>
          <c:dLbls>
            <c:dLbl>
              <c:idx val="0"/>
              <c:layout>
                <c:manualLayout>
                  <c:x val="-0.17569410942541985"/>
                  <c:y val="-1.2044135744410157E-3"/>
                </c:manualLayout>
              </c:layout>
              <c:spPr>
                <a:solidFill>
                  <a:srgbClr val="EFEFEF"/>
                </a:solidFill>
                <a:ln>
                  <a:solidFill>
                    <a:srgbClr val="EFEFEF"/>
                  </a:solidFill>
                </a:ln>
                <a:effectLst/>
              </c:spPr>
              <c:txPr>
                <a:bodyPr rot="0" spcFirstLastPara="1" vertOverflow="clip" horzOverflow="clip" vert="horz" wrap="square" lIns="38100" tIns="19050" rIns="38100" bIns="19050" anchor="ctr" anchorCtr="1">
                  <a:no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ellipse">
                      <a:avLst/>
                    </a:prstGeom>
                    <a:noFill/>
                    <a:ln>
                      <a:noFill/>
                    </a:ln>
                  </c15:spPr>
                  <c15:layout>
                    <c:manualLayout>
                      <c:w val="0.22917406739944041"/>
                      <c:h val="0.21076022204170047"/>
                    </c:manualLayout>
                  </c15:layout>
                </c:ext>
                <c:ext xmlns:c16="http://schemas.microsoft.com/office/drawing/2014/chart" uri="{C3380CC4-5D6E-409C-BE32-E72D297353CC}">
                  <c16:uniqueId val="{00000001-109B-4B8A-8C5A-1359D89D6704}"/>
                </c:ext>
              </c:extLst>
            </c:dLbl>
            <c:dLbl>
              <c:idx val="1"/>
              <c:delete val="1"/>
              <c:extLst>
                <c:ext xmlns:c15="http://schemas.microsoft.com/office/drawing/2012/chart" uri="{CE6537A1-D6FC-4f65-9D91-7224C49458BB}">
                  <c15:layout>
                    <c:manualLayout>
                      <c:w val="0.27826745945743964"/>
                      <c:h val="0.31296246542270384"/>
                    </c:manualLayout>
                  </c15:layout>
                </c:ext>
                <c:ext xmlns:c16="http://schemas.microsoft.com/office/drawing/2014/chart" uri="{C3380CC4-5D6E-409C-BE32-E72D297353CC}">
                  <c16:uniqueId val="{00000003-109B-4B8A-8C5A-1359D89D6704}"/>
                </c:ext>
              </c:extLst>
            </c:dLbl>
            <c:spPr>
              <a:solidFill>
                <a:srgbClr val="EFEFEF"/>
              </a:solidFill>
              <a:ln>
                <a:solidFill>
                  <a:srgbClr val="EFEFEF"/>
                </a:solidFill>
              </a:ln>
              <a:effectLst/>
            </c:spPr>
            <c:txPr>
              <a:bodyPr rot="0" spcFirstLastPara="1" vertOverflow="clip" horzOverflow="clip" vert="horz" wrap="square" lIns="38100" tIns="19050" rIns="38100" bIns="19050" anchor="ctr" anchorCtr="1">
                <a:sp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'Utregning av grafer'!$R$66:$S$66</c:f>
              <c:strCache>
                <c:ptCount val="2"/>
                <c:pt idx="0">
                  <c:v>Andel av totalverdi der det er krav til miljøledelsessystem</c:v>
                </c:pt>
                <c:pt idx="1">
                  <c:v>Ikke brukt miljøledelsessystem</c:v>
                </c:pt>
              </c:strCache>
            </c:strRef>
          </c:cat>
          <c:val>
            <c:numRef>
              <c:f>'Utregning av grafer'!$R$67:$S$67</c:f>
              <c:numCache>
                <c:formatCode>0%</c:formatCode>
                <c:ptCount val="2"/>
                <c:pt idx="0">
                  <c:v>0.50792081575202275</c:v>
                </c:pt>
                <c:pt idx="1">
                  <c:v>0.49207918424797725</c:v>
                </c:pt>
              </c:numCache>
            </c:numRef>
          </c:val>
          <c:extLst>
            <c:ext xmlns:c16="http://schemas.microsoft.com/office/drawing/2014/chart" uri="{C3380CC4-5D6E-409C-BE32-E72D297353CC}">
              <c16:uniqueId val="{00000004-109B-4B8A-8C5A-1359D89D6704}"/>
            </c:ext>
          </c:extLst>
        </c:ser>
        <c:dLbls>
          <c:showLegendKey val="0"/>
          <c:showVal val="0"/>
          <c:showCatName val="0"/>
          <c:showSerName val="0"/>
          <c:showPercent val="0"/>
          <c:showBubbleSize val="0"/>
          <c:showLeaderLines val="0"/>
        </c:dLbls>
        <c:firstSliceAng val="0"/>
        <c:holeSize val="50"/>
      </c:doughnutChart>
      <c:spPr>
        <a:noFill/>
        <a:ln>
          <a:noFill/>
        </a:ln>
        <a:effectLst/>
      </c:spPr>
    </c:plotArea>
    <c:legend>
      <c:legendPos val="l"/>
      <c:legendEntry>
        <c:idx val="1"/>
        <c:delete val="1"/>
      </c:legendEntry>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legend>
    <c:plotVisOnly val="1"/>
    <c:dispBlanksAs val="gap"/>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012A4C"/>
            </a:solidFill>
          </c:spPr>
          <c:dPt>
            <c:idx val="0"/>
            <c:bubble3D val="0"/>
            <c:spPr>
              <a:solidFill>
                <a:srgbClr val="012A4C"/>
              </a:solidFill>
              <a:ln w="19050">
                <a:solidFill>
                  <a:schemeClr val="lt1"/>
                </a:solidFill>
              </a:ln>
              <a:effectLst/>
            </c:spPr>
            <c:extLst>
              <c:ext xmlns:c16="http://schemas.microsoft.com/office/drawing/2014/chart" uri="{C3380CC4-5D6E-409C-BE32-E72D297353CC}">
                <c16:uniqueId val="{00000001-1DD6-449C-BC02-C06F86ACE6A0}"/>
              </c:ext>
            </c:extLst>
          </c:dPt>
          <c:dPt>
            <c:idx val="1"/>
            <c:bubble3D val="0"/>
            <c:spPr>
              <a:solidFill>
                <a:srgbClr val="D1D1D1"/>
              </a:solidFill>
              <a:ln w="19050">
                <a:solidFill>
                  <a:schemeClr val="lt1"/>
                </a:solidFill>
              </a:ln>
              <a:effectLst/>
            </c:spPr>
            <c:extLst>
              <c:ext xmlns:c16="http://schemas.microsoft.com/office/drawing/2014/chart" uri="{C3380CC4-5D6E-409C-BE32-E72D297353CC}">
                <c16:uniqueId val="{00000003-1DD6-449C-BC02-C06F86ACE6A0}"/>
              </c:ext>
            </c:extLst>
          </c:dPt>
          <c:dLbls>
            <c:dLbl>
              <c:idx val="0"/>
              <c:layout>
                <c:manualLayout>
                  <c:x val="-0.16011491632955666"/>
                  <c:y val="8.4281366472685984E-2"/>
                </c:manualLayout>
              </c:layout>
              <c:spPr>
                <a:solidFill>
                  <a:srgbClr val="EFEFEF"/>
                </a:solidFill>
                <a:ln>
                  <a:solidFill>
                    <a:srgbClr val="EFEFEF"/>
                  </a:solidFill>
                </a:ln>
                <a:effectLst/>
              </c:spPr>
              <c:txPr>
                <a:bodyPr rot="0" spcFirstLastPara="1" vertOverflow="clip" horzOverflow="clip" vert="horz" wrap="square" lIns="38100" tIns="19050" rIns="38100" bIns="19050" anchor="ctr" anchorCtr="1">
                  <a:no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ellipse">
                      <a:avLst/>
                    </a:prstGeom>
                    <a:noFill/>
                    <a:ln>
                      <a:noFill/>
                    </a:ln>
                  </c15:spPr>
                  <c15:layout>
                    <c:manualLayout>
                      <c:w val="0.18335676518944771"/>
                      <c:h val="0.15917627515013452"/>
                    </c:manualLayout>
                  </c15:layout>
                </c:ext>
                <c:ext xmlns:c16="http://schemas.microsoft.com/office/drawing/2014/chart" uri="{C3380CC4-5D6E-409C-BE32-E72D297353CC}">
                  <c16:uniqueId val="{00000001-1DD6-449C-BC02-C06F86ACE6A0}"/>
                </c:ext>
              </c:extLst>
            </c:dLbl>
            <c:dLbl>
              <c:idx val="1"/>
              <c:delete val="1"/>
              <c:extLst>
                <c:ext xmlns:c15="http://schemas.microsoft.com/office/drawing/2012/chart" uri="{CE6537A1-D6FC-4f65-9D91-7224C49458BB}">
                  <c15:layout>
                    <c:manualLayout>
                      <c:w val="0.27826745945743964"/>
                      <c:h val="0.31296246542270384"/>
                    </c:manualLayout>
                  </c15:layout>
                </c:ext>
                <c:ext xmlns:c16="http://schemas.microsoft.com/office/drawing/2014/chart" uri="{C3380CC4-5D6E-409C-BE32-E72D297353CC}">
                  <c16:uniqueId val="{00000003-1DD6-449C-BC02-C06F86ACE6A0}"/>
                </c:ext>
              </c:extLst>
            </c:dLbl>
            <c:spPr>
              <a:solidFill>
                <a:srgbClr val="EFEFEF"/>
              </a:solidFill>
              <a:ln>
                <a:solidFill>
                  <a:srgbClr val="EFEFEF"/>
                </a:solidFill>
              </a:ln>
              <a:effectLst/>
            </c:spPr>
            <c:txPr>
              <a:bodyPr rot="0" spcFirstLastPara="1" vertOverflow="clip" horzOverflow="clip" vert="horz" wrap="square" lIns="38100" tIns="19050" rIns="38100" bIns="19050" anchor="ctr" anchorCtr="1">
                <a:sp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'Utregning av grafer'!$I$74:$J$74</c:f>
              <c:strCache>
                <c:ptCount val="2"/>
                <c:pt idx="0">
                  <c:v>Andel  anskaffelser som har Type 1 - miljømerke som kr, tildelingskriterium eller kontraktsvilkår</c:v>
                </c:pt>
                <c:pt idx="1">
                  <c:v>Ikke brukt Type 1 - miljømerke</c:v>
                </c:pt>
              </c:strCache>
            </c:strRef>
          </c:cat>
          <c:val>
            <c:numRef>
              <c:f>'Utregning av grafer'!$I$75:$J$75</c:f>
              <c:numCache>
                <c:formatCode>0%</c:formatCode>
                <c:ptCount val="2"/>
                <c:pt idx="0">
                  <c:v>0.41509433962264153</c:v>
                </c:pt>
                <c:pt idx="1">
                  <c:v>0.58490566037735847</c:v>
                </c:pt>
              </c:numCache>
            </c:numRef>
          </c:val>
          <c:extLst>
            <c:ext xmlns:c16="http://schemas.microsoft.com/office/drawing/2014/chart" uri="{C3380CC4-5D6E-409C-BE32-E72D297353CC}">
              <c16:uniqueId val="{00000004-1DD6-449C-BC02-C06F86ACE6A0}"/>
            </c:ext>
          </c:extLst>
        </c:ser>
        <c:dLbls>
          <c:showLegendKey val="0"/>
          <c:showVal val="0"/>
          <c:showCatName val="0"/>
          <c:showSerName val="0"/>
          <c:showPercent val="0"/>
          <c:showBubbleSize val="0"/>
          <c:showLeaderLines val="0"/>
        </c:dLbls>
        <c:firstSliceAng val="0"/>
        <c:holeSize val="50"/>
      </c:doughnutChart>
      <c:spPr>
        <a:noFill/>
        <a:ln>
          <a:noFill/>
        </a:ln>
        <a:effectLst/>
      </c:spPr>
    </c:plotArea>
    <c:legend>
      <c:legendPos val="l"/>
      <c:legendEntry>
        <c:idx val="1"/>
        <c:delete val="1"/>
      </c:legendEntry>
      <c:layout>
        <c:manualLayout>
          <c:xMode val="edge"/>
          <c:yMode val="edge"/>
          <c:x val="1.6551724137931035E-2"/>
          <c:y val="0.37550928783504628"/>
          <c:w val="0.38574705403203907"/>
          <c:h val="0.24898142432990744"/>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legend>
    <c:plotVisOnly val="1"/>
    <c:dispBlanksAs val="gap"/>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012A4C"/>
            </a:solidFill>
          </c:spPr>
          <c:dPt>
            <c:idx val="0"/>
            <c:bubble3D val="0"/>
            <c:spPr>
              <a:solidFill>
                <a:srgbClr val="012A4C"/>
              </a:solidFill>
              <a:ln w="19050">
                <a:solidFill>
                  <a:schemeClr val="lt1"/>
                </a:solidFill>
              </a:ln>
              <a:effectLst/>
            </c:spPr>
            <c:extLst>
              <c:ext xmlns:c16="http://schemas.microsoft.com/office/drawing/2014/chart" uri="{C3380CC4-5D6E-409C-BE32-E72D297353CC}">
                <c16:uniqueId val="{00000001-592A-417A-8242-AFDFF095000F}"/>
              </c:ext>
            </c:extLst>
          </c:dPt>
          <c:dPt>
            <c:idx val="1"/>
            <c:bubble3D val="0"/>
            <c:spPr>
              <a:solidFill>
                <a:srgbClr val="D1D1D1"/>
              </a:solidFill>
              <a:ln w="19050">
                <a:solidFill>
                  <a:schemeClr val="lt1"/>
                </a:solidFill>
              </a:ln>
              <a:effectLst/>
            </c:spPr>
            <c:extLst>
              <c:ext xmlns:c16="http://schemas.microsoft.com/office/drawing/2014/chart" uri="{C3380CC4-5D6E-409C-BE32-E72D297353CC}">
                <c16:uniqueId val="{00000003-592A-417A-8242-AFDFF095000F}"/>
              </c:ext>
            </c:extLst>
          </c:dPt>
          <c:dLbls>
            <c:dLbl>
              <c:idx val="0"/>
              <c:layout>
                <c:manualLayout>
                  <c:x val="-0.11986710994123667"/>
                  <c:y val="-0.19225462743083846"/>
                </c:manualLayout>
              </c:layout>
              <c:spPr>
                <a:solidFill>
                  <a:srgbClr val="EFEFEF"/>
                </a:solidFill>
                <a:ln>
                  <a:solidFill>
                    <a:srgbClr val="EFEFEF"/>
                  </a:solidFill>
                </a:ln>
                <a:effectLst/>
              </c:spPr>
              <c:txPr>
                <a:bodyPr rot="0" spcFirstLastPara="1" vertOverflow="clip" horzOverflow="clip" vert="horz" wrap="square" lIns="38100" tIns="19050" rIns="38100" bIns="19050" anchor="ctr" anchorCtr="1">
                  <a:no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ellipse">
                      <a:avLst/>
                    </a:prstGeom>
                    <a:noFill/>
                    <a:ln>
                      <a:noFill/>
                    </a:ln>
                  </c15:spPr>
                  <c15:layout>
                    <c:manualLayout>
                      <c:w val="0.22917406739944041"/>
                      <c:h val="0.21076022204170047"/>
                    </c:manualLayout>
                  </c15:layout>
                </c:ext>
                <c:ext xmlns:c16="http://schemas.microsoft.com/office/drawing/2014/chart" uri="{C3380CC4-5D6E-409C-BE32-E72D297353CC}">
                  <c16:uniqueId val="{00000001-592A-417A-8242-AFDFF095000F}"/>
                </c:ext>
              </c:extLst>
            </c:dLbl>
            <c:dLbl>
              <c:idx val="1"/>
              <c:delete val="1"/>
              <c:extLst>
                <c:ext xmlns:c15="http://schemas.microsoft.com/office/drawing/2012/chart" uri="{CE6537A1-D6FC-4f65-9D91-7224C49458BB}">
                  <c15:layout>
                    <c:manualLayout>
                      <c:w val="0.27826745945743964"/>
                      <c:h val="0.31296246542270384"/>
                    </c:manualLayout>
                  </c15:layout>
                </c:ext>
                <c:ext xmlns:c16="http://schemas.microsoft.com/office/drawing/2014/chart" uri="{C3380CC4-5D6E-409C-BE32-E72D297353CC}">
                  <c16:uniqueId val="{00000003-592A-417A-8242-AFDFF095000F}"/>
                </c:ext>
              </c:extLst>
            </c:dLbl>
            <c:spPr>
              <a:solidFill>
                <a:srgbClr val="EFEFEF"/>
              </a:solidFill>
              <a:ln>
                <a:solidFill>
                  <a:srgbClr val="EFEFEF"/>
                </a:solidFill>
              </a:ln>
              <a:effectLst/>
            </c:spPr>
            <c:txPr>
              <a:bodyPr rot="0" spcFirstLastPara="1" vertOverflow="clip" horzOverflow="clip" vert="horz" wrap="square" lIns="38100" tIns="19050" rIns="38100" bIns="19050" anchor="ctr" anchorCtr="1">
                <a:sp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'Utregning av grafer'!$R$74:$S$74</c:f>
              <c:strCache>
                <c:ptCount val="2"/>
                <c:pt idx="0">
                  <c:v>Andel av totalverdi der det er krav til miljømerke</c:v>
                </c:pt>
                <c:pt idx="1">
                  <c:v>Ikke brukt Type 1 - miljømerke</c:v>
                </c:pt>
              </c:strCache>
            </c:strRef>
          </c:cat>
          <c:val>
            <c:numRef>
              <c:f>'Utregning av grafer'!$R$75:$S$75</c:f>
              <c:numCache>
                <c:formatCode>0%</c:formatCode>
                <c:ptCount val="2"/>
                <c:pt idx="0">
                  <c:v>0.79088609805615417</c:v>
                </c:pt>
                <c:pt idx="1">
                  <c:v>0.20911390194384583</c:v>
                </c:pt>
              </c:numCache>
            </c:numRef>
          </c:val>
          <c:extLst>
            <c:ext xmlns:c16="http://schemas.microsoft.com/office/drawing/2014/chart" uri="{C3380CC4-5D6E-409C-BE32-E72D297353CC}">
              <c16:uniqueId val="{00000004-592A-417A-8242-AFDFF095000F}"/>
            </c:ext>
          </c:extLst>
        </c:ser>
        <c:dLbls>
          <c:showLegendKey val="0"/>
          <c:showVal val="0"/>
          <c:showCatName val="0"/>
          <c:showSerName val="0"/>
          <c:showPercent val="0"/>
          <c:showBubbleSize val="0"/>
          <c:showLeaderLines val="0"/>
        </c:dLbls>
        <c:firstSliceAng val="0"/>
        <c:holeSize val="50"/>
      </c:doughnutChart>
      <c:spPr>
        <a:noFill/>
        <a:ln>
          <a:noFill/>
        </a:ln>
        <a:effectLst/>
      </c:spPr>
    </c:plotArea>
    <c:legend>
      <c:legendPos val="l"/>
      <c:legendEntry>
        <c:idx val="1"/>
        <c:delete val="1"/>
      </c:legendEntry>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legend>
    <c:plotVisOnly val="1"/>
    <c:dispBlanksAs val="gap"/>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012A4C"/>
            </a:solidFill>
          </c:spPr>
          <c:dPt>
            <c:idx val="0"/>
            <c:bubble3D val="0"/>
            <c:spPr>
              <a:solidFill>
                <a:srgbClr val="012A4C"/>
              </a:solidFill>
              <a:ln w="19050">
                <a:solidFill>
                  <a:schemeClr val="lt1"/>
                </a:solidFill>
              </a:ln>
              <a:effectLst/>
            </c:spPr>
            <c:extLst>
              <c:ext xmlns:c16="http://schemas.microsoft.com/office/drawing/2014/chart" uri="{C3380CC4-5D6E-409C-BE32-E72D297353CC}">
                <c16:uniqueId val="{00000001-52F2-4AD1-81DD-7D10268B5EAA}"/>
              </c:ext>
            </c:extLst>
          </c:dPt>
          <c:dPt>
            <c:idx val="1"/>
            <c:bubble3D val="0"/>
            <c:spPr>
              <a:solidFill>
                <a:srgbClr val="D1D1D1"/>
              </a:solidFill>
              <a:ln w="19050">
                <a:solidFill>
                  <a:schemeClr val="lt1"/>
                </a:solidFill>
              </a:ln>
              <a:effectLst/>
            </c:spPr>
            <c:extLst>
              <c:ext xmlns:c16="http://schemas.microsoft.com/office/drawing/2014/chart" uri="{C3380CC4-5D6E-409C-BE32-E72D297353CC}">
                <c16:uniqueId val="{00000003-52F2-4AD1-81DD-7D10268B5EAA}"/>
              </c:ext>
            </c:extLst>
          </c:dPt>
          <c:dLbls>
            <c:dLbl>
              <c:idx val="0"/>
              <c:layout>
                <c:manualLayout>
                  <c:x val="-0.11046946602103044"/>
                  <c:y val="0.20004313258511849"/>
                </c:manualLayout>
              </c:layout>
              <c:spPr>
                <a:solidFill>
                  <a:srgbClr val="EFEFEF"/>
                </a:solidFill>
                <a:ln>
                  <a:solidFill>
                    <a:srgbClr val="EFEFEF"/>
                  </a:solidFill>
                </a:ln>
                <a:effectLst/>
              </c:spPr>
              <c:txPr>
                <a:bodyPr rot="0" spcFirstLastPara="1" vertOverflow="clip" horzOverflow="clip" vert="horz" wrap="square" lIns="38100" tIns="19050" rIns="38100" bIns="19050" anchor="ctr" anchorCtr="1">
                  <a:no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ellipse">
                      <a:avLst/>
                    </a:prstGeom>
                    <a:noFill/>
                    <a:ln>
                      <a:noFill/>
                    </a:ln>
                  </c15:spPr>
                  <c15:layout>
                    <c:manualLayout>
                      <c:w val="0.18335676518944771"/>
                      <c:h val="0.15917627515013452"/>
                    </c:manualLayout>
                  </c15:layout>
                </c:ext>
                <c:ext xmlns:c16="http://schemas.microsoft.com/office/drawing/2014/chart" uri="{C3380CC4-5D6E-409C-BE32-E72D297353CC}">
                  <c16:uniqueId val="{00000001-52F2-4AD1-81DD-7D10268B5EAA}"/>
                </c:ext>
              </c:extLst>
            </c:dLbl>
            <c:dLbl>
              <c:idx val="1"/>
              <c:delete val="1"/>
              <c:extLst>
                <c:ext xmlns:c15="http://schemas.microsoft.com/office/drawing/2012/chart" uri="{CE6537A1-D6FC-4f65-9D91-7224C49458BB}">
                  <c15:layout>
                    <c:manualLayout>
                      <c:w val="0.27826745945743964"/>
                      <c:h val="0.31296246542270384"/>
                    </c:manualLayout>
                  </c15:layout>
                </c:ext>
                <c:ext xmlns:c16="http://schemas.microsoft.com/office/drawing/2014/chart" uri="{C3380CC4-5D6E-409C-BE32-E72D297353CC}">
                  <c16:uniqueId val="{00000003-52F2-4AD1-81DD-7D10268B5EAA}"/>
                </c:ext>
              </c:extLst>
            </c:dLbl>
            <c:spPr>
              <a:solidFill>
                <a:srgbClr val="EFEFEF"/>
              </a:solidFill>
              <a:ln>
                <a:solidFill>
                  <a:srgbClr val="EFEFEF"/>
                </a:solidFill>
              </a:ln>
              <a:effectLst/>
            </c:spPr>
            <c:txPr>
              <a:bodyPr rot="0" spcFirstLastPara="1" vertOverflow="clip" horzOverflow="clip" vert="horz" wrap="square" lIns="38100" tIns="19050" rIns="38100" bIns="19050" anchor="ctr" anchorCtr="1">
                <a:sp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'Utregning av grafer'!$I$82:$J$82</c:f>
              <c:strCache>
                <c:ptCount val="2"/>
                <c:pt idx="0">
                  <c:v>Andel  anskaffelser som har EPD som kr, tildelingskriterium eller kontraktsvilkår</c:v>
                </c:pt>
                <c:pt idx="1">
                  <c:v>Ikke brukt EPD</c:v>
                </c:pt>
              </c:strCache>
            </c:strRef>
          </c:cat>
          <c:val>
            <c:numRef>
              <c:f>'Utregning av grafer'!$I$83:$J$83</c:f>
              <c:numCache>
                <c:formatCode>0%</c:formatCode>
                <c:ptCount val="2"/>
                <c:pt idx="0">
                  <c:v>0.26415094339622641</c:v>
                </c:pt>
                <c:pt idx="1">
                  <c:v>0.73584905660377364</c:v>
                </c:pt>
              </c:numCache>
            </c:numRef>
          </c:val>
          <c:extLst>
            <c:ext xmlns:c16="http://schemas.microsoft.com/office/drawing/2014/chart" uri="{C3380CC4-5D6E-409C-BE32-E72D297353CC}">
              <c16:uniqueId val="{00000004-52F2-4AD1-81DD-7D10268B5EAA}"/>
            </c:ext>
          </c:extLst>
        </c:ser>
        <c:dLbls>
          <c:showLegendKey val="0"/>
          <c:showVal val="0"/>
          <c:showCatName val="0"/>
          <c:showSerName val="0"/>
          <c:showPercent val="0"/>
          <c:showBubbleSize val="0"/>
          <c:showLeaderLines val="0"/>
        </c:dLbls>
        <c:firstSliceAng val="0"/>
        <c:holeSize val="50"/>
      </c:doughnutChart>
      <c:spPr>
        <a:noFill/>
        <a:ln>
          <a:noFill/>
        </a:ln>
        <a:effectLst/>
      </c:spPr>
    </c:plotArea>
    <c:legend>
      <c:legendPos val="l"/>
      <c:legendEntry>
        <c:idx val="1"/>
        <c:delete val="1"/>
      </c:legendEntry>
      <c:layout>
        <c:manualLayout>
          <c:xMode val="edge"/>
          <c:yMode val="edge"/>
          <c:x val="1.6551724137931035E-2"/>
          <c:y val="0.37550928783504628"/>
          <c:w val="0.38574705403203907"/>
          <c:h val="0.24898142432990744"/>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legend>
    <c:plotVisOnly val="1"/>
    <c:dispBlanksAs val="gap"/>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012A4C"/>
            </a:solidFill>
          </c:spPr>
          <c:dPt>
            <c:idx val="0"/>
            <c:bubble3D val="0"/>
            <c:spPr>
              <a:solidFill>
                <a:srgbClr val="012A4C"/>
              </a:solidFill>
              <a:ln w="19050">
                <a:solidFill>
                  <a:schemeClr val="lt1"/>
                </a:solidFill>
              </a:ln>
              <a:effectLst/>
            </c:spPr>
            <c:extLst>
              <c:ext xmlns:c16="http://schemas.microsoft.com/office/drawing/2014/chart" uri="{C3380CC4-5D6E-409C-BE32-E72D297353CC}">
                <c16:uniqueId val="{00000001-CE36-4EC1-8D36-D360553FF600}"/>
              </c:ext>
            </c:extLst>
          </c:dPt>
          <c:dPt>
            <c:idx val="1"/>
            <c:bubble3D val="0"/>
            <c:spPr>
              <a:solidFill>
                <a:srgbClr val="D1D1D1"/>
              </a:solidFill>
              <a:ln w="19050">
                <a:solidFill>
                  <a:schemeClr val="lt1"/>
                </a:solidFill>
              </a:ln>
              <a:effectLst/>
            </c:spPr>
            <c:extLst>
              <c:ext xmlns:c16="http://schemas.microsoft.com/office/drawing/2014/chart" uri="{C3380CC4-5D6E-409C-BE32-E72D297353CC}">
                <c16:uniqueId val="{00000003-CE36-4EC1-8D36-D360553FF600}"/>
              </c:ext>
            </c:extLst>
          </c:dPt>
          <c:dLbls>
            <c:dLbl>
              <c:idx val="0"/>
              <c:layout>
                <c:manualLayout>
                  <c:x val="-0.15178354749840989"/>
                  <c:y val="-0.10948121828002048"/>
                </c:manualLayout>
              </c:layout>
              <c:spPr>
                <a:solidFill>
                  <a:srgbClr val="EFEFEF"/>
                </a:solidFill>
                <a:ln>
                  <a:solidFill>
                    <a:srgbClr val="EFEFEF"/>
                  </a:solidFill>
                </a:ln>
                <a:effectLst/>
              </c:spPr>
              <c:txPr>
                <a:bodyPr rot="0" spcFirstLastPara="1" vertOverflow="clip" horzOverflow="clip" vert="horz" wrap="square" lIns="38100" tIns="19050" rIns="38100" bIns="19050" anchor="ctr" anchorCtr="1">
                  <a:no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ellipse">
                      <a:avLst/>
                    </a:prstGeom>
                    <a:noFill/>
                    <a:ln>
                      <a:noFill/>
                    </a:ln>
                  </c15:spPr>
                  <c15:layout>
                    <c:manualLayout>
                      <c:w val="0.18335676518944771"/>
                      <c:h val="0.15917627515013452"/>
                    </c:manualLayout>
                  </c15:layout>
                </c:ext>
                <c:ext xmlns:c16="http://schemas.microsoft.com/office/drawing/2014/chart" uri="{C3380CC4-5D6E-409C-BE32-E72D297353CC}">
                  <c16:uniqueId val="{00000001-CE36-4EC1-8D36-D360553FF600}"/>
                </c:ext>
              </c:extLst>
            </c:dLbl>
            <c:dLbl>
              <c:idx val="1"/>
              <c:delete val="1"/>
              <c:extLst>
                <c:ext xmlns:c15="http://schemas.microsoft.com/office/drawing/2012/chart" uri="{CE6537A1-D6FC-4f65-9D91-7224C49458BB}">
                  <c15:layout>
                    <c:manualLayout>
                      <c:w val="0.27826745945743964"/>
                      <c:h val="0.31296246542270384"/>
                    </c:manualLayout>
                  </c15:layout>
                </c:ext>
                <c:ext xmlns:c16="http://schemas.microsoft.com/office/drawing/2014/chart" uri="{C3380CC4-5D6E-409C-BE32-E72D297353CC}">
                  <c16:uniqueId val="{00000003-CE36-4EC1-8D36-D360553FF600}"/>
                </c:ext>
              </c:extLst>
            </c:dLbl>
            <c:spPr>
              <a:solidFill>
                <a:srgbClr val="EFEFEF"/>
              </a:solidFill>
              <a:ln>
                <a:solidFill>
                  <a:srgbClr val="EFEFEF"/>
                </a:solidFill>
              </a:ln>
              <a:effectLst/>
            </c:spPr>
            <c:txPr>
              <a:bodyPr rot="0" spcFirstLastPara="1" vertOverflow="clip" horzOverflow="clip" vert="horz" wrap="square" lIns="38100" tIns="19050" rIns="38100" bIns="19050" anchor="ctr" anchorCtr="1">
                <a:sp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'Utregning av grafer'!$I$90:$J$90</c:f>
              <c:strCache>
                <c:ptCount val="2"/>
                <c:pt idx="0">
                  <c:v>Andel  anskaffelser som har stilt kr til bærekraftig skogbruk</c:v>
                </c:pt>
                <c:pt idx="1">
                  <c:v>Ikke stilt krav til bærekraftig skogbruk</c:v>
                </c:pt>
              </c:strCache>
            </c:strRef>
          </c:cat>
          <c:val>
            <c:numRef>
              <c:f>'Utregning av grafer'!$I$91:$J$91</c:f>
              <c:numCache>
                <c:formatCode>0%</c:formatCode>
                <c:ptCount val="2"/>
                <c:pt idx="0">
                  <c:v>0.64150943396226412</c:v>
                </c:pt>
                <c:pt idx="1">
                  <c:v>0.35849056603773588</c:v>
                </c:pt>
              </c:numCache>
            </c:numRef>
          </c:val>
          <c:extLst>
            <c:ext xmlns:c16="http://schemas.microsoft.com/office/drawing/2014/chart" uri="{C3380CC4-5D6E-409C-BE32-E72D297353CC}">
              <c16:uniqueId val="{00000004-CE36-4EC1-8D36-D360553FF600}"/>
            </c:ext>
          </c:extLst>
        </c:ser>
        <c:dLbls>
          <c:showLegendKey val="0"/>
          <c:showVal val="0"/>
          <c:showCatName val="0"/>
          <c:showSerName val="0"/>
          <c:showPercent val="0"/>
          <c:showBubbleSize val="0"/>
          <c:showLeaderLines val="0"/>
        </c:dLbls>
        <c:firstSliceAng val="0"/>
        <c:holeSize val="50"/>
      </c:doughnutChart>
      <c:spPr>
        <a:noFill/>
        <a:ln>
          <a:noFill/>
        </a:ln>
        <a:effectLst/>
      </c:spPr>
    </c:plotArea>
    <c:legend>
      <c:legendPos val="l"/>
      <c:legendEntry>
        <c:idx val="1"/>
        <c:delete val="1"/>
      </c:legendEntry>
      <c:layout>
        <c:manualLayout>
          <c:xMode val="edge"/>
          <c:yMode val="edge"/>
          <c:x val="1.6551724137931035E-2"/>
          <c:y val="0.37550928783504628"/>
          <c:w val="0.38574705403203907"/>
          <c:h val="0.24898142432990744"/>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legend>
    <c:plotVisOnly val="1"/>
    <c:dispBlanksAs val="gap"/>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012A4C"/>
            </a:solidFill>
          </c:spPr>
          <c:dPt>
            <c:idx val="0"/>
            <c:bubble3D val="0"/>
            <c:spPr>
              <a:solidFill>
                <a:srgbClr val="012A4C"/>
              </a:solidFill>
              <a:ln w="19050">
                <a:solidFill>
                  <a:schemeClr val="lt1"/>
                </a:solidFill>
              </a:ln>
              <a:effectLst/>
            </c:spPr>
            <c:extLst>
              <c:ext xmlns:c16="http://schemas.microsoft.com/office/drawing/2014/chart" uri="{C3380CC4-5D6E-409C-BE32-E72D297353CC}">
                <c16:uniqueId val="{00000001-6086-426A-B0D5-A8A16300A54C}"/>
              </c:ext>
            </c:extLst>
          </c:dPt>
          <c:dPt>
            <c:idx val="1"/>
            <c:bubble3D val="0"/>
            <c:spPr>
              <a:solidFill>
                <a:srgbClr val="D1D1D1"/>
              </a:solidFill>
              <a:ln w="19050">
                <a:solidFill>
                  <a:schemeClr val="lt1"/>
                </a:solidFill>
              </a:ln>
              <a:effectLst/>
            </c:spPr>
            <c:extLst>
              <c:ext xmlns:c16="http://schemas.microsoft.com/office/drawing/2014/chart" uri="{C3380CC4-5D6E-409C-BE32-E72D297353CC}">
                <c16:uniqueId val="{00000003-6086-426A-B0D5-A8A16300A54C}"/>
              </c:ext>
            </c:extLst>
          </c:dPt>
          <c:dLbls>
            <c:dLbl>
              <c:idx val="0"/>
              <c:layout>
                <c:manualLayout>
                  <c:x val="-0.16556441293866617"/>
                  <c:y val="-0.10514226883680516"/>
                </c:manualLayout>
              </c:layout>
              <c:spPr>
                <a:solidFill>
                  <a:srgbClr val="EFEFEF"/>
                </a:solidFill>
                <a:ln>
                  <a:solidFill>
                    <a:srgbClr val="EFEFEF"/>
                  </a:solidFill>
                </a:ln>
                <a:effectLst/>
              </c:spPr>
              <c:txPr>
                <a:bodyPr rot="0" spcFirstLastPara="1" vertOverflow="clip" horzOverflow="clip" vert="horz" wrap="square" lIns="38100" tIns="19050" rIns="38100" bIns="19050" anchor="ctr" anchorCtr="1">
                  <a:no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ellipse">
                      <a:avLst/>
                    </a:prstGeom>
                    <a:noFill/>
                    <a:ln>
                      <a:noFill/>
                    </a:ln>
                  </c15:spPr>
                  <c15:layout>
                    <c:manualLayout>
                      <c:w val="0.18335676518944771"/>
                      <c:h val="0.15917627515013452"/>
                    </c:manualLayout>
                  </c15:layout>
                </c:ext>
                <c:ext xmlns:c16="http://schemas.microsoft.com/office/drawing/2014/chart" uri="{C3380CC4-5D6E-409C-BE32-E72D297353CC}">
                  <c16:uniqueId val="{00000001-6086-426A-B0D5-A8A16300A54C}"/>
                </c:ext>
              </c:extLst>
            </c:dLbl>
            <c:dLbl>
              <c:idx val="1"/>
              <c:delete val="1"/>
              <c:extLst>
                <c:ext xmlns:c15="http://schemas.microsoft.com/office/drawing/2012/chart" uri="{CE6537A1-D6FC-4f65-9D91-7224C49458BB}">
                  <c15:layout>
                    <c:manualLayout>
                      <c:w val="0.27826745945743964"/>
                      <c:h val="0.31296246542270384"/>
                    </c:manualLayout>
                  </c15:layout>
                </c:ext>
                <c:ext xmlns:c16="http://schemas.microsoft.com/office/drawing/2014/chart" uri="{C3380CC4-5D6E-409C-BE32-E72D297353CC}">
                  <c16:uniqueId val="{00000003-6086-426A-B0D5-A8A16300A54C}"/>
                </c:ext>
              </c:extLst>
            </c:dLbl>
            <c:spPr>
              <a:solidFill>
                <a:srgbClr val="EFEFEF"/>
              </a:solidFill>
              <a:ln>
                <a:solidFill>
                  <a:srgbClr val="EFEFEF"/>
                </a:solidFill>
              </a:ln>
              <a:effectLst/>
            </c:spPr>
            <c:txPr>
              <a:bodyPr rot="0" spcFirstLastPara="1" vertOverflow="clip" horzOverflow="clip" vert="horz" wrap="square" lIns="38100" tIns="19050" rIns="38100" bIns="19050" anchor="ctr" anchorCtr="1">
                <a:sp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'Utregning av grafer'!$L$124:$M$124</c:f>
              <c:strCache>
                <c:ptCount val="2"/>
                <c:pt idx="0">
                  <c:v>Andel  anskaffelser som har stilt krav til kvalitet</c:v>
                </c:pt>
                <c:pt idx="1">
                  <c:v>Ikke stilt krav til kvalitet</c:v>
                </c:pt>
              </c:strCache>
            </c:strRef>
          </c:cat>
          <c:val>
            <c:numRef>
              <c:f>'Utregning av grafer'!$L$125:$M$125</c:f>
              <c:numCache>
                <c:formatCode>0%</c:formatCode>
                <c:ptCount val="2"/>
                <c:pt idx="0">
                  <c:v>0.62264150943396224</c:v>
                </c:pt>
                <c:pt idx="1">
                  <c:v>0.37735849056603776</c:v>
                </c:pt>
              </c:numCache>
            </c:numRef>
          </c:val>
          <c:extLst>
            <c:ext xmlns:c16="http://schemas.microsoft.com/office/drawing/2014/chart" uri="{C3380CC4-5D6E-409C-BE32-E72D297353CC}">
              <c16:uniqueId val="{00000004-6086-426A-B0D5-A8A16300A54C}"/>
            </c:ext>
          </c:extLst>
        </c:ser>
        <c:dLbls>
          <c:showLegendKey val="0"/>
          <c:showVal val="0"/>
          <c:showCatName val="0"/>
          <c:showSerName val="0"/>
          <c:showPercent val="0"/>
          <c:showBubbleSize val="0"/>
          <c:showLeaderLines val="0"/>
        </c:dLbls>
        <c:firstSliceAng val="0"/>
        <c:holeSize val="50"/>
      </c:doughnutChart>
      <c:spPr>
        <a:noFill/>
        <a:ln>
          <a:noFill/>
        </a:ln>
        <a:effectLst/>
      </c:spPr>
    </c:plotArea>
    <c:legend>
      <c:legendPos val="l"/>
      <c:legendEntry>
        <c:idx val="1"/>
        <c:delete val="1"/>
      </c:legendEntry>
      <c:layout>
        <c:manualLayout>
          <c:xMode val="edge"/>
          <c:yMode val="edge"/>
          <c:x val="1.6551724137931035E-2"/>
          <c:y val="0.37550928783504628"/>
          <c:w val="0.38574705403203907"/>
          <c:h val="0.24898142432990744"/>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legend>
    <c:plotVisOnly val="1"/>
    <c:dispBlanksAs val="gap"/>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012A4C"/>
            </a:solidFill>
          </c:spPr>
          <c:dPt>
            <c:idx val="0"/>
            <c:bubble3D val="0"/>
            <c:spPr>
              <a:solidFill>
                <a:srgbClr val="012A4C"/>
              </a:solidFill>
              <a:ln w="19050">
                <a:solidFill>
                  <a:schemeClr val="lt1"/>
                </a:solidFill>
              </a:ln>
              <a:effectLst/>
            </c:spPr>
            <c:extLst>
              <c:ext xmlns:c16="http://schemas.microsoft.com/office/drawing/2014/chart" uri="{C3380CC4-5D6E-409C-BE32-E72D297353CC}">
                <c16:uniqueId val="{00000001-0A46-4C96-96D7-2E3F2F8975A4}"/>
              </c:ext>
            </c:extLst>
          </c:dPt>
          <c:dPt>
            <c:idx val="1"/>
            <c:bubble3D val="0"/>
            <c:spPr>
              <a:solidFill>
                <a:srgbClr val="D1D1D1"/>
              </a:solidFill>
              <a:ln w="19050">
                <a:solidFill>
                  <a:schemeClr val="lt1"/>
                </a:solidFill>
              </a:ln>
              <a:effectLst/>
            </c:spPr>
            <c:extLst>
              <c:ext xmlns:c16="http://schemas.microsoft.com/office/drawing/2014/chart" uri="{C3380CC4-5D6E-409C-BE32-E72D297353CC}">
                <c16:uniqueId val="{00000003-0A46-4C96-96D7-2E3F2F8975A4}"/>
              </c:ext>
            </c:extLst>
          </c:dPt>
          <c:dLbls>
            <c:dLbl>
              <c:idx val="0"/>
              <c:layout>
                <c:manualLayout>
                  <c:x val="-9.3903814201559438E-2"/>
                  <c:y val="-0.23280960767347447"/>
                </c:manualLayout>
              </c:layout>
              <c:spPr>
                <a:solidFill>
                  <a:srgbClr val="EFEFEF"/>
                </a:solidFill>
                <a:ln>
                  <a:solidFill>
                    <a:srgbClr val="EFEFEF"/>
                  </a:solidFill>
                </a:ln>
                <a:effectLst/>
              </c:spPr>
              <c:txPr>
                <a:bodyPr rot="0" spcFirstLastPara="1" vertOverflow="clip" horzOverflow="clip" vert="horz" wrap="square" lIns="38100" tIns="19050" rIns="38100" bIns="19050" anchor="ctr" anchorCtr="1">
                  <a:no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ellipse">
                      <a:avLst/>
                    </a:prstGeom>
                    <a:noFill/>
                    <a:ln>
                      <a:noFill/>
                    </a:ln>
                  </c15:spPr>
                  <c15:layout>
                    <c:manualLayout>
                      <c:w val="0.18335676518944771"/>
                      <c:h val="0.15917627515013452"/>
                    </c:manualLayout>
                  </c15:layout>
                </c:ext>
                <c:ext xmlns:c16="http://schemas.microsoft.com/office/drawing/2014/chart" uri="{C3380CC4-5D6E-409C-BE32-E72D297353CC}">
                  <c16:uniqueId val="{00000001-0A46-4C96-96D7-2E3F2F8975A4}"/>
                </c:ext>
              </c:extLst>
            </c:dLbl>
            <c:dLbl>
              <c:idx val="1"/>
              <c:delete val="1"/>
              <c:extLst>
                <c:ext xmlns:c15="http://schemas.microsoft.com/office/drawing/2012/chart" uri="{CE6537A1-D6FC-4f65-9D91-7224C49458BB}">
                  <c15:layout>
                    <c:manualLayout>
                      <c:w val="0.27826745945743964"/>
                      <c:h val="0.31296246542270384"/>
                    </c:manualLayout>
                  </c15:layout>
                </c:ext>
                <c:ext xmlns:c16="http://schemas.microsoft.com/office/drawing/2014/chart" uri="{C3380CC4-5D6E-409C-BE32-E72D297353CC}">
                  <c16:uniqueId val="{00000003-0A46-4C96-96D7-2E3F2F8975A4}"/>
                </c:ext>
              </c:extLst>
            </c:dLbl>
            <c:spPr>
              <a:solidFill>
                <a:srgbClr val="EFEFEF"/>
              </a:solidFill>
              <a:ln>
                <a:solidFill>
                  <a:srgbClr val="EFEFEF"/>
                </a:solidFill>
              </a:ln>
              <a:effectLst/>
            </c:spPr>
            <c:txPr>
              <a:bodyPr rot="0" spcFirstLastPara="1" vertOverflow="clip" horzOverflow="clip" vert="horz" wrap="square" lIns="38100" tIns="19050" rIns="38100" bIns="19050" anchor="ctr" anchorCtr="1">
                <a:sp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'Utregning av grafer'!$L$132:$M$132</c:f>
              <c:strCache>
                <c:ptCount val="2"/>
                <c:pt idx="0">
                  <c:v>Andel  anskaffelser som har stilt krav til robuste møbeltekstiler</c:v>
                </c:pt>
                <c:pt idx="1">
                  <c:v>Ikke stilt krav til robuste møbeltekstiler</c:v>
                </c:pt>
              </c:strCache>
            </c:strRef>
          </c:cat>
          <c:val>
            <c:numRef>
              <c:f>'Utregning av grafer'!$L$133:$M$133</c:f>
              <c:numCache>
                <c:formatCode>0%</c:formatCode>
                <c:ptCount val="2"/>
                <c:pt idx="0">
                  <c:v>0.81132075471698117</c:v>
                </c:pt>
                <c:pt idx="1">
                  <c:v>0.18867924528301883</c:v>
                </c:pt>
              </c:numCache>
            </c:numRef>
          </c:val>
          <c:extLst>
            <c:ext xmlns:c16="http://schemas.microsoft.com/office/drawing/2014/chart" uri="{C3380CC4-5D6E-409C-BE32-E72D297353CC}">
              <c16:uniqueId val="{00000004-0A46-4C96-96D7-2E3F2F8975A4}"/>
            </c:ext>
          </c:extLst>
        </c:ser>
        <c:dLbls>
          <c:showLegendKey val="0"/>
          <c:showVal val="0"/>
          <c:showCatName val="0"/>
          <c:showSerName val="0"/>
          <c:showPercent val="0"/>
          <c:showBubbleSize val="0"/>
          <c:showLeaderLines val="0"/>
        </c:dLbls>
        <c:firstSliceAng val="0"/>
        <c:holeSize val="50"/>
      </c:doughnutChart>
      <c:spPr>
        <a:noFill/>
        <a:ln>
          <a:noFill/>
        </a:ln>
        <a:effectLst/>
      </c:spPr>
    </c:plotArea>
    <c:legend>
      <c:legendPos val="l"/>
      <c:legendEntry>
        <c:idx val="1"/>
        <c:delete val="1"/>
      </c:legendEntry>
      <c:layout>
        <c:manualLayout>
          <c:xMode val="edge"/>
          <c:yMode val="edge"/>
          <c:x val="1.6551724137931035E-2"/>
          <c:y val="0.37550928783504628"/>
          <c:w val="0.38574705403203907"/>
          <c:h val="0.24898142432990744"/>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legend>
    <c:plotVisOnly val="1"/>
    <c:dispBlanksAs val="gap"/>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012A4C"/>
            </a:solidFill>
          </c:spPr>
          <c:dPt>
            <c:idx val="0"/>
            <c:bubble3D val="0"/>
            <c:spPr>
              <a:solidFill>
                <a:srgbClr val="012A4C"/>
              </a:solidFill>
              <a:ln w="19050">
                <a:solidFill>
                  <a:schemeClr val="lt1"/>
                </a:solidFill>
              </a:ln>
              <a:effectLst/>
            </c:spPr>
            <c:extLst>
              <c:ext xmlns:c16="http://schemas.microsoft.com/office/drawing/2014/chart" uri="{C3380CC4-5D6E-409C-BE32-E72D297353CC}">
                <c16:uniqueId val="{00000001-1D56-4AFF-B2E6-99D09FB533BF}"/>
              </c:ext>
            </c:extLst>
          </c:dPt>
          <c:dPt>
            <c:idx val="1"/>
            <c:bubble3D val="0"/>
            <c:spPr>
              <a:solidFill>
                <a:srgbClr val="D1D1D1"/>
              </a:solidFill>
              <a:ln w="19050">
                <a:solidFill>
                  <a:schemeClr val="lt1"/>
                </a:solidFill>
              </a:ln>
              <a:effectLst/>
            </c:spPr>
            <c:extLst>
              <c:ext xmlns:c16="http://schemas.microsoft.com/office/drawing/2014/chart" uri="{C3380CC4-5D6E-409C-BE32-E72D297353CC}">
                <c16:uniqueId val="{00000003-1D56-4AFF-B2E6-99D09FB533BF}"/>
              </c:ext>
            </c:extLst>
          </c:dPt>
          <c:dLbls>
            <c:dLbl>
              <c:idx val="0"/>
              <c:layout>
                <c:manualLayout>
                  <c:x val="-8.462331091932172E-3"/>
                  <c:y val="0.29657853503219012"/>
                </c:manualLayout>
              </c:layout>
              <c:spPr>
                <a:solidFill>
                  <a:srgbClr val="EFEFEF"/>
                </a:solidFill>
                <a:ln>
                  <a:solidFill>
                    <a:srgbClr val="EFEFEF"/>
                  </a:solidFill>
                </a:ln>
                <a:effectLst/>
              </c:spPr>
              <c:txPr>
                <a:bodyPr rot="0" spcFirstLastPara="1" vertOverflow="clip" horzOverflow="clip" vert="horz" wrap="square" lIns="38100" tIns="19050" rIns="38100" bIns="19050" anchor="ctr" anchorCtr="1">
                  <a:no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ellipse">
                      <a:avLst/>
                    </a:prstGeom>
                    <a:noFill/>
                    <a:ln>
                      <a:noFill/>
                    </a:ln>
                  </c15:spPr>
                  <c15:layout>
                    <c:manualLayout>
                      <c:w val="0.18335676518944771"/>
                      <c:h val="0.15917627515013452"/>
                    </c:manualLayout>
                  </c15:layout>
                </c:ext>
                <c:ext xmlns:c16="http://schemas.microsoft.com/office/drawing/2014/chart" uri="{C3380CC4-5D6E-409C-BE32-E72D297353CC}">
                  <c16:uniqueId val="{00000001-1D56-4AFF-B2E6-99D09FB533BF}"/>
                </c:ext>
              </c:extLst>
            </c:dLbl>
            <c:dLbl>
              <c:idx val="1"/>
              <c:delete val="1"/>
              <c:extLst>
                <c:ext xmlns:c15="http://schemas.microsoft.com/office/drawing/2012/chart" uri="{CE6537A1-D6FC-4f65-9D91-7224C49458BB}">
                  <c15:layout>
                    <c:manualLayout>
                      <c:w val="0.27826745945743964"/>
                      <c:h val="0.31296246542270384"/>
                    </c:manualLayout>
                  </c15:layout>
                </c:ext>
                <c:ext xmlns:c16="http://schemas.microsoft.com/office/drawing/2014/chart" uri="{C3380CC4-5D6E-409C-BE32-E72D297353CC}">
                  <c16:uniqueId val="{00000003-1D56-4AFF-B2E6-99D09FB533BF}"/>
                </c:ext>
              </c:extLst>
            </c:dLbl>
            <c:spPr>
              <a:solidFill>
                <a:srgbClr val="EFEFEF"/>
              </a:solidFill>
              <a:ln>
                <a:solidFill>
                  <a:srgbClr val="EFEFEF"/>
                </a:solidFill>
              </a:ln>
              <a:effectLst/>
            </c:spPr>
            <c:txPr>
              <a:bodyPr rot="0" spcFirstLastPara="1" vertOverflow="clip" horzOverflow="clip" vert="horz" wrap="square" lIns="38100" tIns="19050" rIns="38100" bIns="19050" anchor="ctr" anchorCtr="1">
                <a:sp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'Utregning av grafer'!$A$141:$B$141</c:f>
              <c:strCache>
                <c:ptCount val="2"/>
                <c:pt idx="0">
                  <c:v>Andel anskaffelser som har stilt krav til at leverandøren skal kunne levere brukte møbler</c:v>
                </c:pt>
                <c:pt idx="1">
                  <c:v>Ikke stilt krav </c:v>
                </c:pt>
              </c:strCache>
            </c:strRef>
          </c:cat>
          <c:val>
            <c:numRef>
              <c:f>'Utregning av grafer'!$A$142:$B$142</c:f>
              <c:numCache>
                <c:formatCode>0%</c:formatCode>
                <c:ptCount val="2"/>
                <c:pt idx="0">
                  <c:v>1.8867924528301886E-2</c:v>
                </c:pt>
                <c:pt idx="1">
                  <c:v>0.98113207547169812</c:v>
                </c:pt>
              </c:numCache>
            </c:numRef>
          </c:val>
          <c:extLst>
            <c:ext xmlns:c16="http://schemas.microsoft.com/office/drawing/2014/chart" uri="{C3380CC4-5D6E-409C-BE32-E72D297353CC}">
              <c16:uniqueId val="{00000004-1D56-4AFF-B2E6-99D09FB533BF}"/>
            </c:ext>
          </c:extLst>
        </c:ser>
        <c:dLbls>
          <c:showLegendKey val="0"/>
          <c:showVal val="0"/>
          <c:showCatName val="0"/>
          <c:showSerName val="0"/>
          <c:showPercent val="0"/>
          <c:showBubbleSize val="0"/>
          <c:showLeaderLines val="0"/>
        </c:dLbls>
        <c:firstSliceAng val="0"/>
        <c:holeSize val="50"/>
      </c:doughnutChart>
      <c:spPr>
        <a:noFill/>
        <a:ln>
          <a:noFill/>
        </a:ln>
        <a:effectLst/>
      </c:spPr>
    </c:plotArea>
    <c:legend>
      <c:legendPos val="l"/>
      <c:legendEntry>
        <c:idx val="1"/>
        <c:delete val="1"/>
      </c:legendEntry>
      <c:layout>
        <c:manualLayout>
          <c:xMode val="edge"/>
          <c:yMode val="edge"/>
          <c:x val="1.6551724137931035E-2"/>
          <c:y val="0.37550928783504628"/>
          <c:w val="0.38574705403203907"/>
          <c:h val="0.24898142432990744"/>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legend>
    <c:plotVisOnly val="1"/>
    <c:dispBlanksAs val="gap"/>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012A4C"/>
            </a:solidFill>
          </c:spPr>
          <c:dPt>
            <c:idx val="0"/>
            <c:bubble3D val="0"/>
            <c:spPr>
              <a:solidFill>
                <a:srgbClr val="012A4C"/>
              </a:solidFill>
              <a:ln w="19050">
                <a:solidFill>
                  <a:schemeClr val="lt1"/>
                </a:solidFill>
              </a:ln>
              <a:effectLst/>
            </c:spPr>
            <c:extLst>
              <c:ext xmlns:c16="http://schemas.microsoft.com/office/drawing/2014/chart" uri="{C3380CC4-5D6E-409C-BE32-E72D297353CC}">
                <c16:uniqueId val="{00000001-B9F9-4C45-9A71-CBF4BBC76281}"/>
              </c:ext>
            </c:extLst>
          </c:dPt>
          <c:dPt>
            <c:idx val="1"/>
            <c:bubble3D val="0"/>
            <c:spPr>
              <a:solidFill>
                <a:srgbClr val="D1D1D1"/>
              </a:solidFill>
              <a:ln w="19050">
                <a:solidFill>
                  <a:schemeClr val="lt1"/>
                </a:solidFill>
              </a:ln>
              <a:effectLst/>
            </c:spPr>
            <c:extLst>
              <c:ext xmlns:c16="http://schemas.microsoft.com/office/drawing/2014/chart" uri="{C3380CC4-5D6E-409C-BE32-E72D297353CC}">
                <c16:uniqueId val="{00000003-B9F9-4C45-9A71-CBF4BBC76281}"/>
              </c:ext>
            </c:extLst>
          </c:dPt>
          <c:dLbls>
            <c:dLbl>
              <c:idx val="0"/>
              <c:layout>
                <c:manualLayout>
                  <c:x val="-0.14085001336690234"/>
                  <c:y val="0.17804863602669974"/>
                </c:manualLayout>
              </c:layout>
              <c:spPr>
                <a:solidFill>
                  <a:srgbClr val="EFEFEF"/>
                </a:solidFill>
                <a:ln>
                  <a:solidFill>
                    <a:srgbClr val="EFEFEF"/>
                  </a:solidFill>
                </a:ln>
                <a:effectLst/>
              </c:spPr>
              <c:txPr>
                <a:bodyPr rot="0" spcFirstLastPara="1" vertOverflow="clip" horzOverflow="clip" vert="horz" wrap="square" lIns="38100" tIns="19050" rIns="38100" bIns="19050" anchor="ctr" anchorCtr="1">
                  <a:no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ellipse">
                      <a:avLst/>
                    </a:prstGeom>
                    <a:noFill/>
                    <a:ln>
                      <a:noFill/>
                    </a:ln>
                  </c15:spPr>
                  <c15:layout>
                    <c:manualLayout>
                      <c:w val="0.18335676518944771"/>
                      <c:h val="0.15917627515013452"/>
                    </c:manualLayout>
                  </c15:layout>
                </c:ext>
                <c:ext xmlns:c16="http://schemas.microsoft.com/office/drawing/2014/chart" uri="{C3380CC4-5D6E-409C-BE32-E72D297353CC}">
                  <c16:uniqueId val="{00000001-B9F9-4C45-9A71-CBF4BBC76281}"/>
                </c:ext>
              </c:extLst>
            </c:dLbl>
            <c:dLbl>
              <c:idx val="1"/>
              <c:delete val="1"/>
              <c:extLst>
                <c:ext xmlns:c15="http://schemas.microsoft.com/office/drawing/2012/chart" uri="{CE6537A1-D6FC-4f65-9D91-7224C49458BB}">
                  <c15:layout>
                    <c:manualLayout>
                      <c:w val="0.27826745945743964"/>
                      <c:h val="0.31296246542270384"/>
                    </c:manualLayout>
                  </c15:layout>
                </c:ext>
                <c:ext xmlns:c16="http://schemas.microsoft.com/office/drawing/2014/chart" uri="{C3380CC4-5D6E-409C-BE32-E72D297353CC}">
                  <c16:uniqueId val="{00000003-B9F9-4C45-9A71-CBF4BBC76281}"/>
                </c:ext>
              </c:extLst>
            </c:dLbl>
            <c:spPr>
              <a:solidFill>
                <a:srgbClr val="EFEFEF"/>
              </a:solidFill>
              <a:ln>
                <a:solidFill>
                  <a:srgbClr val="EFEFEF"/>
                </a:solidFill>
              </a:ln>
              <a:effectLst/>
            </c:spPr>
            <c:txPr>
              <a:bodyPr rot="0" spcFirstLastPara="1" vertOverflow="clip" horzOverflow="clip" vert="horz" wrap="square" lIns="38100" tIns="19050" rIns="38100" bIns="19050" anchor="ctr" anchorCtr="1">
                <a:sp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'Utregning av grafer'!$E$141:$F$141</c:f>
              <c:strCache>
                <c:ptCount val="2"/>
                <c:pt idx="0">
                  <c:v>Andel av avtaler der brukte møbler er untatt fra avtalen</c:v>
                </c:pt>
                <c:pt idx="1">
                  <c:v>Ikke stilt krav </c:v>
                </c:pt>
              </c:strCache>
            </c:strRef>
          </c:cat>
          <c:val>
            <c:numRef>
              <c:f>'Utregning av grafer'!$E$142:$F$142</c:f>
              <c:numCache>
                <c:formatCode>0%</c:formatCode>
                <c:ptCount val="2"/>
                <c:pt idx="0">
                  <c:v>0.30188679245283018</c:v>
                </c:pt>
                <c:pt idx="1">
                  <c:v>0.69811320754716988</c:v>
                </c:pt>
              </c:numCache>
            </c:numRef>
          </c:val>
          <c:extLst>
            <c:ext xmlns:c16="http://schemas.microsoft.com/office/drawing/2014/chart" uri="{C3380CC4-5D6E-409C-BE32-E72D297353CC}">
              <c16:uniqueId val="{00000004-B9F9-4C45-9A71-CBF4BBC76281}"/>
            </c:ext>
          </c:extLst>
        </c:ser>
        <c:dLbls>
          <c:showLegendKey val="0"/>
          <c:showVal val="0"/>
          <c:showCatName val="0"/>
          <c:showSerName val="0"/>
          <c:showPercent val="0"/>
          <c:showBubbleSize val="0"/>
          <c:showLeaderLines val="0"/>
        </c:dLbls>
        <c:firstSliceAng val="0"/>
        <c:holeSize val="50"/>
      </c:doughnutChart>
      <c:spPr>
        <a:noFill/>
        <a:ln>
          <a:noFill/>
        </a:ln>
        <a:effectLst/>
      </c:spPr>
    </c:plotArea>
    <c:legend>
      <c:legendPos val="l"/>
      <c:legendEntry>
        <c:idx val="1"/>
        <c:delete val="1"/>
      </c:legendEntry>
      <c:layout>
        <c:manualLayout>
          <c:xMode val="edge"/>
          <c:yMode val="edge"/>
          <c:x val="1.6551724137931035E-2"/>
          <c:y val="0.37550928783504628"/>
          <c:w val="0.38574705403203907"/>
          <c:h val="0.24898142432990744"/>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legend>
    <c:plotVisOnly val="1"/>
    <c:dispBlanksAs val="gap"/>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012A4C"/>
            </a:solidFill>
          </c:spPr>
          <c:dPt>
            <c:idx val="0"/>
            <c:bubble3D val="0"/>
            <c:spPr>
              <a:solidFill>
                <a:srgbClr val="012A4C"/>
              </a:solidFill>
              <a:ln w="19050">
                <a:solidFill>
                  <a:schemeClr val="lt1"/>
                </a:solidFill>
              </a:ln>
              <a:effectLst/>
            </c:spPr>
            <c:extLst>
              <c:ext xmlns:c16="http://schemas.microsoft.com/office/drawing/2014/chart" uri="{C3380CC4-5D6E-409C-BE32-E72D297353CC}">
                <c16:uniqueId val="{00000001-0EFB-4CB7-9926-1224C1C706FE}"/>
              </c:ext>
            </c:extLst>
          </c:dPt>
          <c:dPt>
            <c:idx val="1"/>
            <c:bubble3D val="0"/>
            <c:spPr>
              <a:solidFill>
                <a:srgbClr val="D1D1D1"/>
              </a:solidFill>
              <a:ln w="19050">
                <a:solidFill>
                  <a:schemeClr val="lt1"/>
                </a:solidFill>
              </a:ln>
              <a:effectLst/>
            </c:spPr>
            <c:extLst>
              <c:ext xmlns:c16="http://schemas.microsoft.com/office/drawing/2014/chart" uri="{C3380CC4-5D6E-409C-BE32-E72D297353CC}">
                <c16:uniqueId val="{00000003-0EFB-4CB7-9926-1224C1C706FE}"/>
              </c:ext>
            </c:extLst>
          </c:dPt>
          <c:dLbls>
            <c:dLbl>
              <c:idx val="0"/>
              <c:layout>
                <c:manualLayout>
                  <c:x val="-7.4610576080030799E-2"/>
                  <c:y val="-0.24671555720445057"/>
                </c:manualLayout>
              </c:layout>
              <c:spPr>
                <a:solidFill>
                  <a:srgbClr val="EFEFEF"/>
                </a:solidFill>
                <a:ln>
                  <a:solidFill>
                    <a:srgbClr val="EFEFEF"/>
                  </a:solidFill>
                </a:ln>
                <a:effectLst/>
              </c:spPr>
              <c:txPr>
                <a:bodyPr rot="0" spcFirstLastPara="1" vertOverflow="clip" horzOverflow="clip" vert="horz" wrap="square" lIns="38100" tIns="19050" rIns="38100" bIns="19050" anchor="ctr" anchorCtr="1">
                  <a:no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ellipse">
                      <a:avLst/>
                    </a:prstGeom>
                    <a:noFill/>
                    <a:ln>
                      <a:noFill/>
                    </a:ln>
                  </c15:spPr>
                  <c15:layout>
                    <c:manualLayout>
                      <c:w val="0.18335676518944771"/>
                      <c:h val="0.15917627515013452"/>
                    </c:manualLayout>
                  </c15:layout>
                </c:ext>
                <c:ext xmlns:c16="http://schemas.microsoft.com/office/drawing/2014/chart" uri="{C3380CC4-5D6E-409C-BE32-E72D297353CC}">
                  <c16:uniqueId val="{00000001-0EFB-4CB7-9926-1224C1C706FE}"/>
                </c:ext>
              </c:extLst>
            </c:dLbl>
            <c:dLbl>
              <c:idx val="1"/>
              <c:delete val="1"/>
              <c:extLst>
                <c:ext xmlns:c15="http://schemas.microsoft.com/office/drawing/2012/chart" uri="{CE6537A1-D6FC-4f65-9D91-7224C49458BB}">
                  <c15:layout>
                    <c:manualLayout>
                      <c:w val="0.27826745945743964"/>
                      <c:h val="0.31296246542270384"/>
                    </c:manualLayout>
                  </c15:layout>
                </c:ext>
                <c:ext xmlns:c16="http://schemas.microsoft.com/office/drawing/2014/chart" uri="{C3380CC4-5D6E-409C-BE32-E72D297353CC}">
                  <c16:uniqueId val="{00000003-0EFB-4CB7-9926-1224C1C706FE}"/>
                </c:ext>
              </c:extLst>
            </c:dLbl>
            <c:spPr>
              <a:solidFill>
                <a:srgbClr val="EFEFEF"/>
              </a:solidFill>
              <a:ln>
                <a:solidFill>
                  <a:srgbClr val="EFEFEF"/>
                </a:solidFill>
              </a:ln>
              <a:effectLst/>
            </c:spPr>
            <c:txPr>
              <a:bodyPr rot="0" spcFirstLastPara="1" vertOverflow="clip" horzOverflow="clip" vert="horz" wrap="square" lIns="38100" tIns="19050" rIns="38100" bIns="19050" anchor="ctr" anchorCtr="1">
                <a:sp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'Utregning av grafer'!$A$98:$B$98</c:f>
              <c:strCache>
                <c:ptCount val="2"/>
                <c:pt idx="0">
                  <c:v>Har stilt krav til kvalitet på produktet</c:v>
                </c:pt>
                <c:pt idx="1">
                  <c:v>Har ikke stilt krav til sirkulær økonomi</c:v>
                </c:pt>
              </c:strCache>
            </c:strRef>
          </c:cat>
          <c:val>
            <c:numRef>
              <c:f>'Utregning av grafer'!$A$100:$B$100</c:f>
              <c:numCache>
                <c:formatCode>0%</c:formatCode>
                <c:ptCount val="2"/>
                <c:pt idx="0">
                  <c:v>0.86792452830188682</c:v>
                </c:pt>
                <c:pt idx="1">
                  <c:v>0.13207547169811321</c:v>
                </c:pt>
              </c:numCache>
            </c:numRef>
          </c:val>
          <c:extLst>
            <c:ext xmlns:c16="http://schemas.microsoft.com/office/drawing/2014/chart" uri="{C3380CC4-5D6E-409C-BE32-E72D297353CC}">
              <c16:uniqueId val="{00000004-0EFB-4CB7-9926-1224C1C706FE}"/>
            </c:ext>
          </c:extLst>
        </c:ser>
        <c:dLbls>
          <c:showLegendKey val="0"/>
          <c:showVal val="0"/>
          <c:showCatName val="0"/>
          <c:showSerName val="0"/>
          <c:showPercent val="0"/>
          <c:showBubbleSize val="0"/>
          <c:showLeaderLines val="0"/>
        </c:dLbls>
        <c:firstSliceAng val="0"/>
        <c:holeSize val="50"/>
      </c:doughnutChart>
      <c:spPr>
        <a:noFill/>
        <a:ln>
          <a:noFill/>
        </a:ln>
        <a:effectLst/>
      </c:spPr>
    </c:plotArea>
    <c:legend>
      <c:legendPos val="l"/>
      <c:legendEntry>
        <c:idx val="1"/>
        <c:delete val="1"/>
      </c:legendEntry>
      <c:layout>
        <c:manualLayout>
          <c:xMode val="edge"/>
          <c:yMode val="edge"/>
          <c:x val="1.6551724137931035E-2"/>
          <c:y val="0.37550928783504628"/>
          <c:w val="0.38574705403203907"/>
          <c:h val="0.24898142432990744"/>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legend>
    <c:plotVisOnly val="1"/>
    <c:dispBlanksAs val="gap"/>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012A4C"/>
            </a:solidFill>
          </c:spPr>
          <c:dPt>
            <c:idx val="0"/>
            <c:bubble3D val="0"/>
            <c:spPr>
              <a:solidFill>
                <a:srgbClr val="012A4C"/>
              </a:solidFill>
              <a:ln w="19050">
                <a:solidFill>
                  <a:schemeClr val="lt1"/>
                </a:solidFill>
              </a:ln>
              <a:effectLst/>
            </c:spPr>
            <c:extLst>
              <c:ext xmlns:c16="http://schemas.microsoft.com/office/drawing/2014/chart" uri="{C3380CC4-5D6E-409C-BE32-E72D297353CC}">
                <c16:uniqueId val="{00000001-55BB-40DE-BF09-198C6CA56C96}"/>
              </c:ext>
            </c:extLst>
          </c:dPt>
          <c:dPt>
            <c:idx val="1"/>
            <c:bubble3D val="0"/>
            <c:spPr>
              <a:solidFill>
                <a:srgbClr val="D1D1D1"/>
              </a:solidFill>
              <a:ln w="19050">
                <a:solidFill>
                  <a:schemeClr val="lt1"/>
                </a:solidFill>
              </a:ln>
              <a:effectLst/>
            </c:spPr>
            <c:extLst>
              <c:ext xmlns:c16="http://schemas.microsoft.com/office/drawing/2014/chart" uri="{C3380CC4-5D6E-409C-BE32-E72D297353CC}">
                <c16:uniqueId val="{00000003-55BB-40DE-BF09-198C6CA56C96}"/>
              </c:ext>
            </c:extLst>
          </c:dPt>
          <c:dLbls>
            <c:dLbl>
              <c:idx val="0"/>
              <c:layout>
                <c:manualLayout>
                  <c:x val="-0.16562710316968235"/>
                  <c:y val="3.7552528592883549E-2"/>
                </c:manualLayout>
              </c:layout>
              <c:spPr>
                <a:solidFill>
                  <a:srgbClr val="EFEFEF"/>
                </a:solidFill>
                <a:ln>
                  <a:solidFill>
                    <a:srgbClr val="EFEFEF"/>
                  </a:solidFill>
                </a:ln>
                <a:effectLst/>
              </c:spPr>
              <c:txPr>
                <a:bodyPr rot="0" spcFirstLastPara="1" vertOverflow="clip" horzOverflow="clip" vert="horz" wrap="square" lIns="38100" tIns="19050" rIns="38100" bIns="19050" anchor="ctr" anchorCtr="1">
                  <a:no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ellipse">
                      <a:avLst/>
                    </a:prstGeom>
                    <a:noFill/>
                    <a:ln>
                      <a:noFill/>
                    </a:ln>
                  </c15:spPr>
                  <c15:layout>
                    <c:manualLayout>
                      <c:w val="0.18335676518944771"/>
                      <c:h val="0.15917627515013452"/>
                    </c:manualLayout>
                  </c15:layout>
                </c:ext>
                <c:ext xmlns:c16="http://schemas.microsoft.com/office/drawing/2014/chart" uri="{C3380CC4-5D6E-409C-BE32-E72D297353CC}">
                  <c16:uniqueId val="{00000001-55BB-40DE-BF09-198C6CA56C96}"/>
                </c:ext>
              </c:extLst>
            </c:dLbl>
            <c:dLbl>
              <c:idx val="1"/>
              <c:delete val="1"/>
              <c:extLst>
                <c:ext xmlns:c15="http://schemas.microsoft.com/office/drawing/2012/chart" uri="{CE6537A1-D6FC-4f65-9D91-7224C49458BB}">
                  <c15:layout>
                    <c:manualLayout>
                      <c:w val="0.27826745945743964"/>
                      <c:h val="0.31296246542270384"/>
                    </c:manualLayout>
                  </c15:layout>
                </c:ext>
                <c:ext xmlns:c16="http://schemas.microsoft.com/office/drawing/2014/chart" uri="{C3380CC4-5D6E-409C-BE32-E72D297353CC}">
                  <c16:uniqueId val="{00000003-55BB-40DE-BF09-198C6CA56C96}"/>
                </c:ext>
              </c:extLst>
            </c:dLbl>
            <c:spPr>
              <a:solidFill>
                <a:srgbClr val="EFEFEF"/>
              </a:solidFill>
              <a:ln>
                <a:solidFill>
                  <a:srgbClr val="EFEFEF"/>
                </a:solidFill>
              </a:ln>
              <a:effectLst/>
            </c:spPr>
            <c:txPr>
              <a:bodyPr rot="0" spcFirstLastPara="1" vertOverflow="clip" horzOverflow="clip" vert="horz" wrap="square" lIns="38100" tIns="19050" rIns="38100" bIns="19050" anchor="ctr" anchorCtr="1">
                <a:sp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'Utregning av grafer'!$A$111:$B$111</c:f>
              <c:strCache>
                <c:ptCount val="2"/>
                <c:pt idx="0">
                  <c:v>Har stilt krav til kvalitet på produktet</c:v>
                </c:pt>
                <c:pt idx="1">
                  <c:v>Har ikke stilt krav til sirkulær økonomi</c:v>
                </c:pt>
              </c:strCache>
            </c:strRef>
          </c:cat>
          <c:val>
            <c:numRef>
              <c:f>'Utregning av grafer'!$A$113:$B$113</c:f>
              <c:numCache>
                <c:formatCode>0%</c:formatCode>
                <c:ptCount val="2"/>
                <c:pt idx="0">
                  <c:v>0.45283018867924529</c:v>
                </c:pt>
                <c:pt idx="1">
                  <c:v>0.54716981132075471</c:v>
                </c:pt>
              </c:numCache>
            </c:numRef>
          </c:val>
          <c:extLst>
            <c:ext xmlns:c16="http://schemas.microsoft.com/office/drawing/2014/chart" uri="{C3380CC4-5D6E-409C-BE32-E72D297353CC}">
              <c16:uniqueId val="{00000004-55BB-40DE-BF09-198C6CA56C96}"/>
            </c:ext>
          </c:extLst>
        </c:ser>
        <c:dLbls>
          <c:showLegendKey val="0"/>
          <c:showVal val="0"/>
          <c:showCatName val="0"/>
          <c:showSerName val="0"/>
          <c:showPercent val="0"/>
          <c:showBubbleSize val="0"/>
          <c:showLeaderLines val="0"/>
        </c:dLbls>
        <c:firstSliceAng val="0"/>
        <c:holeSize val="50"/>
      </c:doughnutChart>
      <c:spPr>
        <a:noFill/>
        <a:ln>
          <a:noFill/>
        </a:ln>
        <a:effectLst/>
      </c:spPr>
    </c:plotArea>
    <c:legend>
      <c:legendPos val="l"/>
      <c:legendEntry>
        <c:idx val="1"/>
        <c:delete val="1"/>
      </c:legendEntry>
      <c:layout>
        <c:manualLayout>
          <c:xMode val="edge"/>
          <c:yMode val="edge"/>
          <c:x val="1.6551724137931035E-2"/>
          <c:y val="0.37550928783504628"/>
          <c:w val="0.38574705403203907"/>
          <c:h val="0.24898142432990744"/>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legend>
    <c:plotVisOnly val="1"/>
    <c:dispBlanksAs val="gap"/>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012A4C"/>
            </a:solidFill>
          </c:spPr>
          <c:dPt>
            <c:idx val="0"/>
            <c:bubble3D val="0"/>
            <c:spPr>
              <a:solidFill>
                <a:srgbClr val="012A4C"/>
              </a:solidFill>
              <a:ln w="19050">
                <a:solidFill>
                  <a:schemeClr val="lt1"/>
                </a:solidFill>
              </a:ln>
              <a:effectLst/>
            </c:spPr>
            <c:extLst>
              <c:ext xmlns:c16="http://schemas.microsoft.com/office/drawing/2014/chart" uri="{C3380CC4-5D6E-409C-BE32-E72D297353CC}">
                <c16:uniqueId val="{00000001-59D9-4E2A-9F18-86151D9DF66A}"/>
              </c:ext>
            </c:extLst>
          </c:dPt>
          <c:dPt>
            <c:idx val="1"/>
            <c:bubble3D val="0"/>
            <c:spPr>
              <a:solidFill>
                <a:srgbClr val="D1D1D1"/>
              </a:solidFill>
              <a:ln w="19050">
                <a:solidFill>
                  <a:schemeClr val="lt1"/>
                </a:solidFill>
              </a:ln>
              <a:effectLst/>
            </c:spPr>
            <c:extLst>
              <c:ext xmlns:c16="http://schemas.microsoft.com/office/drawing/2014/chart" uri="{C3380CC4-5D6E-409C-BE32-E72D297353CC}">
                <c16:uniqueId val="{00000003-59D9-4E2A-9F18-86151D9DF66A}"/>
              </c:ext>
            </c:extLst>
          </c:dPt>
          <c:dLbls>
            <c:dLbl>
              <c:idx val="0"/>
              <c:layout>
                <c:manualLayout>
                  <c:x val="-0.14086216301589072"/>
                  <c:y val="-0.18114091777359101"/>
                </c:manualLayout>
              </c:layout>
              <c:spPr>
                <a:solidFill>
                  <a:srgbClr val="EFEFEF"/>
                </a:solidFill>
                <a:ln>
                  <a:solidFill>
                    <a:srgbClr val="EFEFEF"/>
                  </a:solidFill>
                </a:ln>
                <a:effectLst/>
              </c:spPr>
              <c:txPr>
                <a:bodyPr rot="0" spcFirstLastPara="1" vertOverflow="clip" horzOverflow="clip" vert="horz" wrap="square" lIns="38100" tIns="19050" rIns="38100" bIns="19050" anchor="ctr" anchorCtr="1">
                  <a:no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ellipse">
                      <a:avLst/>
                    </a:prstGeom>
                    <a:noFill/>
                    <a:ln>
                      <a:noFill/>
                    </a:ln>
                  </c15:spPr>
                  <c15:layout>
                    <c:manualLayout>
                      <c:w val="0.18335676518944771"/>
                      <c:h val="0.15917627515013452"/>
                    </c:manualLayout>
                  </c15:layout>
                </c:ext>
                <c:ext xmlns:c16="http://schemas.microsoft.com/office/drawing/2014/chart" uri="{C3380CC4-5D6E-409C-BE32-E72D297353CC}">
                  <c16:uniqueId val="{00000001-59D9-4E2A-9F18-86151D9DF66A}"/>
                </c:ext>
              </c:extLst>
            </c:dLbl>
            <c:dLbl>
              <c:idx val="1"/>
              <c:delete val="1"/>
              <c:extLst>
                <c:ext xmlns:c15="http://schemas.microsoft.com/office/drawing/2012/chart" uri="{CE6537A1-D6FC-4f65-9D91-7224C49458BB}">
                  <c15:layout>
                    <c:manualLayout>
                      <c:w val="0.27826745945743964"/>
                      <c:h val="0.31296246542270384"/>
                    </c:manualLayout>
                  </c15:layout>
                </c:ext>
                <c:ext xmlns:c16="http://schemas.microsoft.com/office/drawing/2014/chart" uri="{C3380CC4-5D6E-409C-BE32-E72D297353CC}">
                  <c16:uniqueId val="{00000003-59D9-4E2A-9F18-86151D9DF66A}"/>
                </c:ext>
              </c:extLst>
            </c:dLbl>
            <c:spPr>
              <a:solidFill>
                <a:srgbClr val="EFEFEF"/>
              </a:solidFill>
              <a:ln>
                <a:solidFill>
                  <a:srgbClr val="EFEFEF"/>
                </a:solidFill>
              </a:ln>
              <a:effectLst/>
            </c:spPr>
            <c:txPr>
              <a:bodyPr rot="0" spcFirstLastPara="1" vertOverflow="clip" horzOverflow="clip" vert="horz" wrap="square" lIns="38100" tIns="19050" rIns="38100" bIns="19050" anchor="ctr" anchorCtr="1">
                <a:sp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'Utregning av grafer'!$L$146:$M$146</c:f>
              <c:strCache>
                <c:ptCount val="2"/>
                <c:pt idx="0">
                  <c:v>Andel anskaffelser som har stilt krav til produktinformasjon om demontering, reparasjon og tilgang på reservedeler</c:v>
                </c:pt>
                <c:pt idx="1">
                  <c:v>Ikke stilt krav</c:v>
                </c:pt>
              </c:strCache>
            </c:strRef>
          </c:cat>
          <c:val>
            <c:numRef>
              <c:f>'Utregning av grafer'!$L$147:$M$147</c:f>
              <c:numCache>
                <c:formatCode>0%</c:formatCode>
                <c:ptCount val="2"/>
                <c:pt idx="0">
                  <c:v>0.71698113207547165</c:v>
                </c:pt>
                <c:pt idx="1">
                  <c:v>0.28301886792452835</c:v>
                </c:pt>
              </c:numCache>
            </c:numRef>
          </c:val>
          <c:extLst>
            <c:ext xmlns:c16="http://schemas.microsoft.com/office/drawing/2014/chart" uri="{C3380CC4-5D6E-409C-BE32-E72D297353CC}">
              <c16:uniqueId val="{00000004-59D9-4E2A-9F18-86151D9DF66A}"/>
            </c:ext>
          </c:extLst>
        </c:ser>
        <c:dLbls>
          <c:showLegendKey val="0"/>
          <c:showVal val="0"/>
          <c:showCatName val="0"/>
          <c:showSerName val="0"/>
          <c:showPercent val="0"/>
          <c:showBubbleSize val="0"/>
          <c:showLeaderLines val="0"/>
        </c:dLbls>
        <c:firstSliceAng val="0"/>
        <c:holeSize val="50"/>
      </c:doughnutChart>
      <c:spPr>
        <a:noFill/>
        <a:ln>
          <a:noFill/>
        </a:ln>
        <a:effectLst/>
      </c:spPr>
    </c:plotArea>
    <c:legend>
      <c:legendPos val="l"/>
      <c:legendEntry>
        <c:idx val="1"/>
        <c:delete val="1"/>
      </c:legendEntry>
      <c:layout>
        <c:manualLayout>
          <c:xMode val="edge"/>
          <c:yMode val="edge"/>
          <c:x val="1.6551724137931035E-2"/>
          <c:y val="0.37550928783504628"/>
          <c:w val="0.38574705403203907"/>
          <c:h val="0.33423908178844614"/>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legend>
    <c:plotVisOnly val="1"/>
    <c:dispBlanksAs val="gap"/>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012A4C"/>
            </a:solidFill>
          </c:spPr>
          <c:dPt>
            <c:idx val="0"/>
            <c:bubble3D val="0"/>
            <c:spPr>
              <a:solidFill>
                <a:srgbClr val="012A4C"/>
              </a:solidFill>
              <a:ln w="19050">
                <a:solidFill>
                  <a:schemeClr val="lt1"/>
                </a:solidFill>
              </a:ln>
              <a:effectLst/>
            </c:spPr>
            <c:extLst>
              <c:ext xmlns:c16="http://schemas.microsoft.com/office/drawing/2014/chart" uri="{C3380CC4-5D6E-409C-BE32-E72D297353CC}">
                <c16:uniqueId val="{00000001-9EB0-402F-9C21-8C1DDD4A889D}"/>
              </c:ext>
            </c:extLst>
          </c:dPt>
          <c:dPt>
            <c:idx val="1"/>
            <c:bubble3D val="0"/>
            <c:spPr>
              <a:solidFill>
                <a:srgbClr val="D1D1D1"/>
              </a:solidFill>
              <a:ln w="19050">
                <a:solidFill>
                  <a:schemeClr val="lt1"/>
                </a:solidFill>
              </a:ln>
              <a:effectLst/>
            </c:spPr>
            <c:extLst>
              <c:ext xmlns:c16="http://schemas.microsoft.com/office/drawing/2014/chart" uri="{C3380CC4-5D6E-409C-BE32-E72D297353CC}">
                <c16:uniqueId val="{00000003-9EB0-402F-9C21-8C1DDD4A889D}"/>
              </c:ext>
            </c:extLst>
          </c:dPt>
          <c:dLbls>
            <c:dLbl>
              <c:idx val="0"/>
              <c:layout>
                <c:manualLayout>
                  <c:x val="-8.2121933438150621E-2"/>
                  <c:y val="0.2577709774069894"/>
                </c:manualLayout>
              </c:layout>
              <c:spPr>
                <a:solidFill>
                  <a:srgbClr val="EFEFEF"/>
                </a:solidFill>
                <a:ln>
                  <a:solidFill>
                    <a:srgbClr val="EFEFEF"/>
                  </a:solidFill>
                </a:ln>
                <a:effectLst/>
              </c:spPr>
              <c:txPr>
                <a:bodyPr rot="0" spcFirstLastPara="1" vertOverflow="clip" horzOverflow="clip" vert="horz" wrap="square" lIns="38100" tIns="19050" rIns="38100" bIns="19050" anchor="ctr" anchorCtr="1">
                  <a:no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ellipse">
                      <a:avLst/>
                    </a:prstGeom>
                    <a:noFill/>
                    <a:ln>
                      <a:noFill/>
                    </a:ln>
                  </c15:spPr>
                  <c15:layout>
                    <c:manualLayout>
                      <c:w val="0.18335676518944771"/>
                      <c:h val="0.15917627515013452"/>
                    </c:manualLayout>
                  </c15:layout>
                </c:ext>
                <c:ext xmlns:c16="http://schemas.microsoft.com/office/drawing/2014/chart" uri="{C3380CC4-5D6E-409C-BE32-E72D297353CC}">
                  <c16:uniqueId val="{00000001-9EB0-402F-9C21-8C1DDD4A889D}"/>
                </c:ext>
              </c:extLst>
            </c:dLbl>
            <c:dLbl>
              <c:idx val="1"/>
              <c:delete val="1"/>
              <c:extLst>
                <c:ext xmlns:c15="http://schemas.microsoft.com/office/drawing/2012/chart" uri="{CE6537A1-D6FC-4f65-9D91-7224C49458BB}">
                  <c15:layout>
                    <c:manualLayout>
                      <c:w val="0.27826745945743964"/>
                      <c:h val="0.31296246542270384"/>
                    </c:manualLayout>
                  </c15:layout>
                </c:ext>
                <c:ext xmlns:c16="http://schemas.microsoft.com/office/drawing/2014/chart" uri="{C3380CC4-5D6E-409C-BE32-E72D297353CC}">
                  <c16:uniqueId val="{00000003-9EB0-402F-9C21-8C1DDD4A889D}"/>
                </c:ext>
              </c:extLst>
            </c:dLbl>
            <c:spPr>
              <a:solidFill>
                <a:srgbClr val="EFEFEF"/>
              </a:solidFill>
              <a:ln>
                <a:solidFill>
                  <a:srgbClr val="EFEFEF"/>
                </a:solidFill>
              </a:ln>
              <a:effectLst/>
            </c:spPr>
            <c:txPr>
              <a:bodyPr rot="0" spcFirstLastPara="1" vertOverflow="clip" horzOverflow="clip" vert="horz" wrap="square" lIns="38100" tIns="19050" rIns="38100" bIns="19050" anchor="ctr" anchorCtr="1">
                <a:sp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'Utregning av grafer'!$L$154:$M$154</c:f>
              <c:strCache>
                <c:ptCount val="2"/>
                <c:pt idx="0">
                  <c:v>Andel  anskaffelser som har stilt krav merking av plastdeler</c:v>
                </c:pt>
                <c:pt idx="1">
                  <c:v>Ikke stilt krav</c:v>
                </c:pt>
              </c:strCache>
            </c:strRef>
          </c:cat>
          <c:val>
            <c:numRef>
              <c:f>'Utregning av grafer'!$L$155:$M$155</c:f>
              <c:numCache>
                <c:formatCode>0%</c:formatCode>
                <c:ptCount val="2"/>
                <c:pt idx="0">
                  <c:v>0.18867924528301888</c:v>
                </c:pt>
                <c:pt idx="1">
                  <c:v>0.81132075471698117</c:v>
                </c:pt>
              </c:numCache>
            </c:numRef>
          </c:val>
          <c:extLst>
            <c:ext xmlns:c16="http://schemas.microsoft.com/office/drawing/2014/chart" uri="{C3380CC4-5D6E-409C-BE32-E72D297353CC}">
              <c16:uniqueId val="{00000004-9EB0-402F-9C21-8C1DDD4A889D}"/>
            </c:ext>
          </c:extLst>
        </c:ser>
        <c:dLbls>
          <c:showLegendKey val="0"/>
          <c:showVal val="0"/>
          <c:showCatName val="0"/>
          <c:showSerName val="0"/>
          <c:showPercent val="0"/>
          <c:showBubbleSize val="0"/>
          <c:showLeaderLines val="0"/>
        </c:dLbls>
        <c:firstSliceAng val="0"/>
        <c:holeSize val="50"/>
      </c:doughnutChart>
      <c:spPr>
        <a:noFill/>
        <a:ln>
          <a:noFill/>
        </a:ln>
        <a:effectLst/>
      </c:spPr>
    </c:plotArea>
    <c:legend>
      <c:legendPos val="l"/>
      <c:legendEntry>
        <c:idx val="1"/>
        <c:delete val="1"/>
      </c:legendEntry>
      <c:layout>
        <c:manualLayout>
          <c:xMode val="edge"/>
          <c:yMode val="edge"/>
          <c:x val="1.6551724137931035E-2"/>
          <c:y val="0.37550928783504628"/>
          <c:w val="0.38574705403203907"/>
          <c:h val="0.24898142432990744"/>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legend>
    <c:plotVisOnly val="1"/>
    <c:dispBlanksAs val="gap"/>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012A4C"/>
            </a:solidFill>
          </c:spPr>
          <c:dPt>
            <c:idx val="0"/>
            <c:bubble3D val="0"/>
            <c:spPr>
              <a:solidFill>
                <a:srgbClr val="012A4C"/>
              </a:solidFill>
              <a:ln w="19050">
                <a:solidFill>
                  <a:schemeClr val="lt1"/>
                </a:solidFill>
              </a:ln>
              <a:effectLst/>
            </c:spPr>
            <c:extLst>
              <c:ext xmlns:c16="http://schemas.microsoft.com/office/drawing/2014/chart" uri="{C3380CC4-5D6E-409C-BE32-E72D297353CC}">
                <c16:uniqueId val="{00000001-F86D-437F-BE9B-7ECADFE6EB1B}"/>
              </c:ext>
            </c:extLst>
          </c:dPt>
          <c:dPt>
            <c:idx val="1"/>
            <c:bubble3D val="0"/>
            <c:spPr>
              <a:solidFill>
                <a:srgbClr val="D1D1D1"/>
              </a:solidFill>
              <a:ln w="19050">
                <a:solidFill>
                  <a:schemeClr val="lt1"/>
                </a:solidFill>
              </a:ln>
              <a:effectLst/>
            </c:spPr>
            <c:extLst>
              <c:ext xmlns:c16="http://schemas.microsoft.com/office/drawing/2014/chart" uri="{C3380CC4-5D6E-409C-BE32-E72D297353CC}">
                <c16:uniqueId val="{00000003-F86D-437F-BE9B-7ECADFE6EB1B}"/>
              </c:ext>
            </c:extLst>
          </c:dPt>
          <c:dLbls>
            <c:dLbl>
              <c:idx val="0"/>
              <c:layout>
                <c:manualLayout>
                  <c:x val="-3.3300080664950951E-2"/>
                  <c:y val="0.29601789277984575"/>
                </c:manualLayout>
              </c:layout>
              <c:spPr>
                <a:solidFill>
                  <a:srgbClr val="EFEFEF"/>
                </a:solidFill>
                <a:ln>
                  <a:solidFill>
                    <a:srgbClr val="EFEFEF"/>
                  </a:solidFill>
                </a:ln>
                <a:effectLst/>
              </c:spPr>
              <c:txPr>
                <a:bodyPr rot="0" spcFirstLastPara="1" vertOverflow="clip" horzOverflow="clip" vert="horz" wrap="square" lIns="38100" tIns="19050" rIns="38100" bIns="19050" anchor="ctr" anchorCtr="1">
                  <a:no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ellipse">
                      <a:avLst/>
                    </a:prstGeom>
                    <a:noFill/>
                    <a:ln>
                      <a:noFill/>
                    </a:ln>
                  </c15:spPr>
                  <c15:layout>
                    <c:manualLayout>
                      <c:w val="0.18335676518944771"/>
                      <c:h val="0.15917627515013452"/>
                    </c:manualLayout>
                  </c15:layout>
                </c:ext>
                <c:ext xmlns:c16="http://schemas.microsoft.com/office/drawing/2014/chart" uri="{C3380CC4-5D6E-409C-BE32-E72D297353CC}">
                  <c16:uniqueId val="{00000001-F86D-437F-BE9B-7ECADFE6EB1B}"/>
                </c:ext>
              </c:extLst>
            </c:dLbl>
            <c:dLbl>
              <c:idx val="1"/>
              <c:delete val="1"/>
              <c:extLst>
                <c:ext xmlns:c15="http://schemas.microsoft.com/office/drawing/2012/chart" uri="{CE6537A1-D6FC-4f65-9D91-7224C49458BB}">
                  <c15:layout>
                    <c:manualLayout>
                      <c:w val="0.27826745945743964"/>
                      <c:h val="0.31296246542270384"/>
                    </c:manualLayout>
                  </c15:layout>
                </c:ext>
                <c:ext xmlns:c16="http://schemas.microsoft.com/office/drawing/2014/chart" uri="{C3380CC4-5D6E-409C-BE32-E72D297353CC}">
                  <c16:uniqueId val="{00000003-F86D-437F-BE9B-7ECADFE6EB1B}"/>
                </c:ext>
              </c:extLst>
            </c:dLbl>
            <c:spPr>
              <a:solidFill>
                <a:srgbClr val="EFEFEF"/>
              </a:solidFill>
              <a:ln>
                <a:solidFill>
                  <a:srgbClr val="EFEFEF"/>
                </a:solidFill>
              </a:ln>
              <a:effectLst/>
            </c:spPr>
            <c:txPr>
              <a:bodyPr rot="0" spcFirstLastPara="1" vertOverflow="clip" horzOverflow="clip" vert="horz" wrap="square" lIns="38100" tIns="19050" rIns="38100" bIns="19050" anchor="ctr" anchorCtr="1">
                <a:sp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'Utregning av grafer'!$A$163:$B$163</c:f>
              <c:strCache>
                <c:ptCount val="2"/>
                <c:pt idx="0">
                  <c:v>Andel  anskaffelser som har stilt krav til at leverandøren skal kunne ta tilbake brukte møbler</c:v>
                </c:pt>
                <c:pt idx="1">
                  <c:v>Ikke stilt krav </c:v>
                </c:pt>
              </c:strCache>
            </c:strRef>
          </c:cat>
          <c:val>
            <c:numRef>
              <c:f>'Utregning av grafer'!$A$164:$B$164</c:f>
              <c:numCache>
                <c:formatCode>0%</c:formatCode>
                <c:ptCount val="2"/>
                <c:pt idx="0">
                  <c:v>5.6603773584905662E-2</c:v>
                </c:pt>
                <c:pt idx="1">
                  <c:v>0.94339622641509435</c:v>
                </c:pt>
              </c:numCache>
            </c:numRef>
          </c:val>
          <c:extLst>
            <c:ext xmlns:c16="http://schemas.microsoft.com/office/drawing/2014/chart" uri="{C3380CC4-5D6E-409C-BE32-E72D297353CC}">
              <c16:uniqueId val="{00000004-F86D-437F-BE9B-7ECADFE6EB1B}"/>
            </c:ext>
          </c:extLst>
        </c:ser>
        <c:dLbls>
          <c:showLegendKey val="0"/>
          <c:showVal val="0"/>
          <c:showCatName val="0"/>
          <c:showSerName val="0"/>
          <c:showPercent val="0"/>
          <c:showBubbleSize val="0"/>
          <c:showLeaderLines val="0"/>
        </c:dLbls>
        <c:firstSliceAng val="0"/>
        <c:holeSize val="50"/>
      </c:doughnutChart>
      <c:spPr>
        <a:noFill/>
        <a:ln>
          <a:noFill/>
        </a:ln>
        <a:effectLst/>
      </c:spPr>
    </c:plotArea>
    <c:legend>
      <c:legendPos val="l"/>
      <c:legendEntry>
        <c:idx val="1"/>
        <c:delete val="1"/>
      </c:legendEntry>
      <c:layout>
        <c:manualLayout>
          <c:xMode val="edge"/>
          <c:yMode val="edge"/>
          <c:x val="1.6551724137931035E-2"/>
          <c:y val="0.37550928783504628"/>
          <c:w val="0.38574705403203907"/>
          <c:h val="0.24898142432990744"/>
        </c:manualLayout>
      </c:layout>
      <c:overlay val="0"/>
      <c:spPr>
        <a:noFill/>
        <a:ln>
          <a:noFill/>
        </a:ln>
        <a:effectLst/>
      </c:spPr>
      <c:txPr>
        <a:bodyPr rot="0" spcFirstLastPara="1" vertOverflow="ellipsis" vert="horz" wrap="square" anchor="ctr" anchorCtr="1"/>
        <a:lstStyle/>
        <a:p>
          <a:pPr rtl="0">
            <a:defRPr sz="105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legend>
    <c:plotVisOnly val="1"/>
    <c:dispBlanksAs val="gap"/>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012A4C"/>
            </a:solidFill>
          </c:spPr>
          <c:dPt>
            <c:idx val="0"/>
            <c:bubble3D val="0"/>
            <c:spPr>
              <a:solidFill>
                <a:srgbClr val="012A4C"/>
              </a:solidFill>
              <a:ln w="19050">
                <a:solidFill>
                  <a:schemeClr val="lt1"/>
                </a:solidFill>
              </a:ln>
              <a:effectLst/>
            </c:spPr>
            <c:extLst>
              <c:ext xmlns:c16="http://schemas.microsoft.com/office/drawing/2014/chart" uri="{C3380CC4-5D6E-409C-BE32-E72D297353CC}">
                <c16:uniqueId val="{00000001-2B61-4514-8B7A-4C7D42E52DB3}"/>
              </c:ext>
            </c:extLst>
          </c:dPt>
          <c:dPt>
            <c:idx val="1"/>
            <c:bubble3D val="0"/>
            <c:spPr>
              <a:solidFill>
                <a:srgbClr val="D1D1D1"/>
              </a:solidFill>
              <a:ln w="19050">
                <a:solidFill>
                  <a:schemeClr val="lt1"/>
                </a:solidFill>
              </a:ln>
              <a:effectLst/>
            </c:spPr>
            <c:extLst>
              <c:ext xmlns:c16="http://schemas.microsoft.com/office/drawing/2014/chart" uri="{C3380CC4-5D6E-409C-BE32-E72D297353CC}">
                <c16:uniqueId val="{00000003-2B61-4514-8B7A-4C7D42E52DB3}"/>
              </c:ext>
            </c:extLst>
          </c:dPt>
          <c:dLbls>
            <c:dLbl>
              <c:idx val="0"/>
              <c:layout>
                <c:manualLayout>
                  <c:x val="-3.3300080664950951E-2"/>
                  <c:y val="0.29601789277984575"/>
                </c:manualLayout>
              </c:layout>
              <c:spPr>
                <a:solidFill>
                  <a:srgbClr val="EFEFEF"/>
                </a:solidFill>
                <a:ln>
                  <a:solidFill>
                    <a:srgbClr val="EFEFEF"/>
                  </a:solidFill>
                </a:ln>
                <a:effectLst/>
              </c:spPr>
              <c:txPr>
                <a:bodyPr rot="0" spcFirstLastPara="1" vertOverflow="clip" horzOverflow="clip" vert="horz" wrap="square" lIns="38100" tIns="19050" rIns="38100" bIns="19050" anchor="ctr" anchorCtr="1">
                  <a:no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ellipse">
                      <a:avLst/>
                    </a:prstGeom>
                    <a:noFill/>
                    <a:ln>
                      <a:noFill/>
                    </a:ln>
                  </c15:spPr>
                  <c15:layout>
                    <c:manualLayout>
                      <c:w val="0.18335676518944771"/>
                      <c:h val="0.15917627515013452"/>
                    </c:manualLayout>
                  </c15:layout>
                </c:ext>
                <c:ext xmlns:c16="http://schemas.microsoft.com/office/drawing/2014/chart" uri="{C3380CC4-5D6E-409C-BE32-E72D297353CC}">
                  <c16:uniqueId val="{00000001-2B61-4514-8B7A-4C7D42E52DB3}"/>
                </c:ext>
              </c:extLst>
            </c:dLbl>
            <c:dLbl>
              <c:idx val="1"/>
              <c:delete val="1"/>
              <c:extLst>
                <c:ext xmlns:c15="http://schemas.microsoft.com/office/drawing/2012/chart" uri="{CE6537A1-D6FC-4f65-9D91-7224C49458BB}">
                  <c15:layout>
                    <c:manualLayout>
                      <c:w val="0.27826745945743964"/>
                      <c:h val="0.31296246542270384"/>
                    </c:manualLayout>
                  </c15:layout>
                </c:ext>
                <c:ext xmlns:c16="http://schemas.microsoft.com/office/drawing/2014/chart" uri="{C3380CC4-5D6E-409C-BE32-E72D297353CC}">
                  <c16:uniqueId val="{00000003-2B61-4514-8B7A-4C7D42E52DB3}"/>
                </c:ext>
              </c:extLst>
            </c:dLbl>
            <c:spPr>
              <a:solidFill>
                <a:srgbClr val="EFEFEF"/>
              </a:solidFill>
              <a:ln>
                <a:solidFill>
                  <a:srgbClr val="EFEFEF"/>
                </a:solidFill>
              </a:ln>
              <a:effectLst/>
            </c:spPr>
            <c:txPr>
              <a:bodyPr rot="0" spcFirstLastPara="1" vertOverflow="clip" horzOverflow="clip" vert="horz" wrap="square" lIns="38100" tIns="19050" rIns="38100" bIns="19050" anchor="ctr" anchorCtr="1">
                <a:sp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'Utregning av grafer'!$E$163:$F$163</c:f>
              <c:strCache>
                <c:ptCount val="2"/>
                <c:pt idx="0">
                  <c:v>Andel  anskaffelser der det er stilt krav til avhending, videresalg, materialgjenvinnes/resirkuleres</c:v>
                </c:pt>
                <c:pt idx="1">
                  <c:v>Ikke stilt krav </c:v>
                </c:pt>
              </c:strCache>
            </c:strRef>
          </c:cat>
          <c:val>
            <c:numRef>
              <c:f>'Utregning av grafer'!$E$164:$F$164</c:f>
              <c:numCache>
                <c:formatCode>0%</c:formatCode>
                <c:ptCount val="2"/>
                <c:pt idx="0">
                  <c:v>3.7735849056603772E-2</c:v>
                </c:pt>
                <c:pt idx="1">
                  <c:v>0.96226415094339623</c:v>
                </c:pt>
              </c:numCache>
            </c:numRef>
          </c:val>
          <c:extLst>
            <c:ext xmlns:c16="http://schemas.microsoft.com/office/drawing/2014/chart" uri="{C3380CC4-5D6E-409C-BE32-E72D297353CC}">
              <c16:uniqueId val="{00000004-2B61-4514-8B7A-4C7D42E52DB3}"/>
            </c:ext>
          </c:extLst>
        </c:ser>
        <c:dLbls>
          <c:showLegendKey val="0"/>
          <c:showVal val="0"/>
          <c:showCatName val="0"/>
          <c:showSerName val="0"/>
          <c:showPercent val="0"/>
          <c:showBubbleSize val="0"/>
          <c:showLeaderLines val="0"/>
        </c:dLbls>
        <c:firstSliceAng val="0"/>
        <c:holeSize val="50"/>
      </c:doughnutChart>
      <c:spPr>
        <a:noFill/>
        <a:ln>
          <a:noFill/>
        </a:ln>
        <a:effectLst/>
      </c:spPr>
    </c:plotArea>
    <c:legend>
      <c:legendPos val="l"/>
      <c:legendEntry>
        <c:idx val="1"/>
        <c:delete val="1"/>
      </c:legendEntry>
      <c:layout>
        <c:manualLayout>
          <c:xMode val="edge"/>
          <c:yMode val="edge"/>
          <c:x val="5.1883814564525038E-2"/>
          <c:y val="0.37550912373831674"/>
          <c:w val="0.27703290057408758"/>
          <c:h val="0.42746751847434872"/>
        </c:manualLayout>
      </c:layout>
      <c:overlay val="0"/>
      <c:spPr>
        <a:noFill/>
        <a:ln>
          <a:noFill/>
        </a:ln>
        <a:effectLst/>
      </c:spPr>
      <c:txPr>
        <a:bodyPr rot="0" spcFirstLastPara="1" vertOverflow="ellipsis" vert="horz" wrap="square" anchor="ctr" anchorCtr="1"/>
        <a:lstStyle/>
        <a:p>
          <a:pPr rtl="0">
            <a:defRPr sz="105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legend>
    <c:plotVisOnly val="1"/>
    <c:dispBlanksAs val="gap"/>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012A4C"/>
            </a:solidFill>
          </c:spPr>
          <c:dPt>
            <c:idx val="0"/>
            <c:bubble3D val="0"/>
            <c:spPr>
              <a:solidFill>
                <a:srgbClr val="012A4C"/>
              </a:solidFill>
              <a:ln w="19050">
                <a:solidFill>
                  <a:schemeClr val="lt1"/>
                </a:solidFill>
              </a:ln>
              <a:effectLst/>
            </c:spPr>
            <c:extLst>
              <c:ext xmlns:c16="http://schemas.microsoft.com/office/drawing/2014/chart" uri="{C3380CC4-5D6E-409C-BE32-E72D297353CC}">
                <c16:uniqueId val="{00000001-889F-40D1-BC07-17DEB5BED9AE}"/>
              </c:ext>
            </c:extLst>
          </c:dPt>
          <c:dPt>
            <c:idx val="1"/>
            <c:bubble3D val="0"/>
            <c:spPr>
              <a:solidFill>
                <a:srgbClr val="D1D1D1"/>
              </a:solidFill>
              <a:ln w="19050">
                <a:solidFill>
                  <a:schemeClr val="lt1"/>
                </a:solidFill>
              </a:ln>
              <a:effectLst/>
            </c:spPr>
            <c:extLst>
              <c:ext xmlns:c16="http://schemas.microsoft.com/office/drawing/2014/chart" uri="{C3380CC4-5D6E-409C-BE32-E72D297353CC}">
                <c16:uniqueId val="{00000003-889F-40D1-BC07-17DEB5BED9AE}"/>
              </c:ext>
            </c:extLst>
          </c:dPt>
          <c:dLbls>
            <c:dLbl>
              <c:idx val="0"/>
              <c:layout>
                <c:manualLayout>
                  <c:x val="-7.1401723277793788E-2"/>
                  <c:y val="0.26639611644533062"/>
                </c:manualLayout>
              </c:layout>
              <c:spPr>
                <a:solidFill>
                  <a:srgbClr val="EFEFEF"/>
                </a:solidFill>
                <a:ln>
                  <a:solidFill>
                    <a:srgbClr val="EFEFEF"/>
                  </a:solidFill>
                </a:ln>
                <a:effectLst/>
              </c:spPr>
              <c:txPr>
                <a:bodyPr rot="0" spcFirstLastPara="1" vertOverflow="clip" horzOverflow="clip" vert="horz" wrap="square" lIns="38100" tIns="19050" rIns="38100" bIns="19050" anchor="ctr" anchorCtr="1">
                  <a:no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ellipse">
                      <a:avLst/>
                    </a:prstGeom>
                    <a:noFill/>
                    <a:ln>
                      <a:noFill/>
                    </a:ln>
                  </c15:spPr>
                  <c15:layout>
                    <c:manualLayout>
                      <c:w val="0.18335676518944771"/>
                      <c:h val="0.15917627515013452"/>
                    </c:manualLayout>
                  </c15:layout>
                </c:ext>
                <c:ext xmlns:c16="http://schemas.microsoft.com/office/drawing/2014/chart" uri="{C3380CC4-5D6E-409C-BE32-E72D297353CC}">
                  <c16:uniqueId val="{00000001-889F-40D1-BC07-17DEB5BED9AE}"/>
                </c:ext>
              </c:extLst>
            </c:dLbl>
            <c:dLbl>
              <c:idx val="1"/>
              <c:delete val="1"/>
              <c:extLst>
                <c:ext xmlns:c15="http://schemas.microsoft.com/office/drawing/2012/chart" uri="{CE6537A1-D6FC-4f65-9D91-7224C49458BB}">
                  <c15:layout>
                    <c:manualLayout>
                      <c:w val="0.27826745945743964"/>
                      <c:h val="0.31296246542270384"/>
                    </c:manualLayout>
                  </c15:layout>
                </c:ext>
                <c:ext xmlns:c16="http://schemas.microsoft.com/office/drawing/2014/chart" uri="{C3380CC4-5D6E-409C-BE32-E72D297353CC}">
                  <c16:uniqueId val="{00000003-889F-40D1-BC07-17DEB5BED9AE}"/>
                </c:ext>
              </c:extLst>
            </c:dLbl>
            <c:spPr>
              <a:solidFill>
                <a:srgbClr val="EFEFEF"/>
              </a:solidFill>
              <a:ln>
                <a:solidFill>
                  <a:srgbClr val="EFEFEF"/>
                </a:solidFill>
              </a:ln>
              <a:effectLst/>
            </c:spPr>
            <c:txPr>
              <a:bodyPr rot="0" spcFirstLastPara="1" vertOverflow="clip" horzOverflow="clip" vert="horz" wrap="square" lIns="38100" tIns="19050" rIns="38100" bIns="19050" anchor="ctr" anchorCtr="1">
                <a:sp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'Utregning av grafer'!$I$169:$J$169</c:f>
              <c:strCache>
                <c:ptCount val="2"/>
                <c:pt idx="0">
                  <c:v>Andel anskaffelser som har stilt krav til serviceavtale/ reparasjonsavtale</c:v>
                </c:pt>
                <c:pt idx="1">
                  <c:v>Ikke stilt krav til bærekraftig skogbruk</c:v>
                </c:pt>
              </c:strCache>
            </c:strRef>
          </c:cat>
          <c:val>
            <c:numRef>
              <c:f>'Utregning av grafer'!$I$170:$J$170</c:f>
              <c:numCache>
                <c:formatCode>0%</c:formatCode>
                <c:ptCount val="2"/>
                <c:pt idx="0">
                  <c:v>0.13207547169811321</c:v>
                </c:pt>
                <c:pt idx="1">
                  <c:v>0.86792452830188682</c:v>
                </c:pt>
              </c:numCache>
            </c:numRef>
          </c:val>
          <c:extLst>
            <c:ext xmlns:c16="http://schemas.microsoft.com/office/drawing/2014/chart" uri="{C3380CC4-5D6E-409C-BE32-E72D297353CC}">
              <c16:uniqueId val="{00000004-889F-40D1-BC07-17DEB5BED9AE}"/>
            </c:ext>
          </c:extLst>
        </c:ser>
        <c:dLbls>
          <c:showLegendKey val="0"/>
          <c:showVal val="0"/>
          <c:showCatName val="0"/>
          <c:showSerName val="0"/>
          <c:showPercent val="0"/>
          <c:showBubbleSize val="0"/>
          <c:showLeaderLines val="0"/>
        </c:dLbls>
        <c:firstSliceAng val="0"/>
        <c:holeSize val="50"/>
      </c:doughnutChart>
      <c:spPr>
        <a:noFill/>
        <a:ln>
          <a:noFill/>
        </a:ln>
        <a:effectLst/>
      </c:spPr>
    </c:plotArea>
    <c:legend>
      <c:legendPos val="l"/>
      <c:legendEntry>
        <c:idx val="1"/>
        <c:delete val="1"/>
      </c:legendEntry>
      <c:layout>
        <c:manualLayout>
          <c:xMode val="edge"/>
          <c:yMode val="edge"/>
          <c:x val="5.7327016476743806E-2"/>
          <c:y val="0.29087541917013648"/>
          <c:w val="0.27703290057408758"/>
          <c:h val="0.42746751847434872"/>
        </c:manualLayout>
      </c:layout>
      <c:overlay val="0"/>
      <c:spPr>
        <a:noFill/>
        <a:ln>
          <a:noFill/>
        </a:ln>
        <a:effectLst/>
      </c:spPr>
      <c:txPr>
        <a:bodyPr rot="0" spcFirstLastPara="1" vertOverflow="ellipsis" vert="horz" wrap="square" anchor="ctr" anchorCtr="1"/>
        <a:lstStyle/>
        <a:p>
          <a:pPr rtl="0">
            <a:defRPr sz="105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legend>
    <c:plotVisOnly val="1"/>
    <c:dispBlanksAs val="gap"/>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012A4C"/>
            </a:solidFill>
          </c:spPr>
          <c:dPt>
            <c:idx val="0"/>
            <c:bubble3D val="0"/>
            <c:spPr>
              <a:solidFill>
                <a:srgbClr val="012A4C"/>
              </a:solidFill>
              <a:ln w="19050">
                <a:solidFill>
                  <a:schemeClr val="lt1"/>
                </a:solidFill>
              </a:ln>
              <a:effectLst/>
            </c:spPr>
            <c:extLst>
              <c:ext xmlns:c16="http://schemas.microsoft.com/office/drawing/2014/chart" uri="{C3380CC4-5D6E-409C-BE32-E72D297353CC}">
                <c16:uniqueId val="{00000001-DC07-44F9-9693-3764FD339D91}"/>
              </c:ext>
            </c:extLst>
          </c:dPt>
          <c:dPt>
            <c:idx val="1"/>
            <c:bubble3D val="0"/>
            <c:spPr>
              <a:solidFill>
                <a:srgbClr val="D1D1D1"/>
              </a:solidFill>
              <a:ln w="19050">
                <a:solidFill>
                  <a:schemeClr val="lt1"/>
                </a:solidFill>
              </a:ln>
              <a:effectLst/>
            </c:spPr>
            <c:extLst>
              <c:ext xmlns:c16="http://schemas.microsoft.com/office/drawing/2014/chart" uri="{C3380CC4-5D6E-409C-BE32-E72D297353CC}">
                <c16:uniqueId val="{00000003-DC07-44F9-9693-3764FD339D91}"/>
              </c:ext>
            </c:extLst>
          </c:dPt>
          <c:dLbls>
            <c:dLbl>
              <c:idx val="0"/>
              <c:layout>
                <c:manualLayout>
                  <c:x val="-1.700402546545848E-2"/>
                  <c:y val="0.29601803606612825"/>
                </c:manualLayout>
              </c:layout>
              <c:spPr>
                <a:solidFill>
                  <a:srgbClr val="EFEFEF"/>
                </a:solidFill>
                <a:ln>
                  <a:solidFill>
                    <a:srgbClr val="EFEFEF"/>
                  </a:solidFill>
                </a:ln>
                <a:effectLst/>
              </c:spPr>
              <c:txPr>
                <a:bodyPr rot="0" spcFirstLastPara="1" vertOverflow="clip" horzOverflow="clip" vert="horz" wrap="square" lIns="38100" tIns="19050" rIns="38100" bIns="19050" anchor="ctr" anchorCtr="1">
                  <a:no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ellipse">
                      <a:avLst/>
                    </a:prstGeom>
                    <a:noFill/>
                    <a:ln>
                      <a:noFill/>
                    </a:ln>
                  </c15:spPr>
                  <c15:layout>
                    <c:manualLayout>
                      <c:w val="0.18335676518944771"/>
                      <c:h val="0.15917627515013452"/>
                    </c:manualLayout>
                  </c15:layout>
                </c:ext>
                <c:ext xmlns:c16="http://schemas.microsoft.com/office/drawing/2014/chart" uri="{C3380CC4-5D6E-409C-BE32-E72D297353CC}">
                  <c16:uniqueId val="{00000001-DC07-44F9-9693-3764FD339D91}"/>
                </c:ext>
              </c:extLst>
            </c:dLbl>
            <c:dLbl>
              <c:idx val="1"/>
              <c:delete val="1"/>
              <c:extLst>
                <c:ext xmlns:c15="http://schemas.microsoft.com/office/drawing/2012/chart" uri="{CE6537A1-D6FC-4f65-9D91-7224C49458BB}">
                  <c15:layout>
                    <c:manualLayout>
                      <c:w val="0.27826745945743964"/>
                      <c:h val="0.31296246542270384"/>
                    </c:manualLayout>
                  </c15:layout>
                </c:ext>
                <c:ext xmlns:c16="http://schemas.microsoft.com/office/drawing/2014/chart" uri="{C3380CC4-5D6E-409C-BE32-E72D297353CC}">
                  <c16:uniqueId val="{00000003-DC07-44F9-9693-3764FD339D91}"/>
                </c:ext>
              </c:extLst>
            </c:dLbl>
            <c:spPr>
              <a:solidFill>
                <a:srgbClr val="EFEFEF"/>
              </a:solidFill>
              <a:ln>
                <a:solidFill>
                  <a:srgbClr val="EFEFEF"/>
                </a:solidFill>
              </a:ln>
              <a:effectLst/>
            </c:spPr>
            <c:txPr>
              <a:bodyPr rot="0" spcFirstLastPara="1" vertOverflow="clip" horzOverflow="clip" vert="horz" wrap="square" lIns="38100" tIns="19050" rIns="38100" bIns="19050" anchor="ctr" anchorCtr="1">
                <a:sp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'Utregning av grafer'!$I$163:$J$163</c:f>
              <c:strCache>
                <c:ptCount val="2"/>
                <c:pt idx="0">
                  <c:v>Andel  anskaffelser der det er stilt krav til TCO/ LCC</c:v>
                </c:pt>
                <c:pt idx="1">
                  <c:v>Ikke stilt krav </c:v>
                </c:pt>
              </c:strCache>
            </c:strRef>
          </c:cat>
          <c:val>
            <c:numRef>
              <c:f>'Utregning av grafer'!$I$164:$J$164</c:f>
              <c:numCache>
                <c:formatCode>0%</c:formatCode>
                <c:ptCount val="2"/>
                <c:pt idx="0">
                  <c:v>1.8867924528301886E-2</c:v>
                </c:pt>
                <c:pt idx="1">
                  <c:v>0.98113207547169812</c:v>
                </c:pt>
              </c:numCache>
            </c:numRef>
          </c:val>
          <c:extLst>
            <c:ext xmlns:c16="http://schemas.microsoft.com/office/drawing/2014/chart" uri="{C3380CC4-5D6E-409C-BE32-E72D297353CC}">
              <c16:uniqueId val="{00000004-DC07-44F9-9693-3764FD339D91}"/>
            </c:ext>
          </c:extLst>
        </c:ser>
        <c:dLbls>
          <c:showLegendKey val="0"/>
          <c:showVal val="0"/>
          <c:showCatName val="0"/>
          <c:showSerName val="0"/>
          <c:showPercent val="0"/>
          <c:showBubbleSize val="0"/>
          <c:showLeaderLines val="0"/>
        </c:dLbls>
        <c:firstSliceAng val="0"/>
        <c:holeSize val="50"/>
      </c:doughnutChart>
      <c:spPr>
        <a:noFill/>
        <a:ln>
          <a:noFill/>
        </a:ln>
        <a:effectLst/>
      </c:spPr>
    </c:plotArea>
    <c:legend>
      <c:legendPos val="l"/>
      <c:legendEntry>
        <c:idx val="1"/>
        <c:delete val="1"/>
      </c:legendEntry>
      <c:layout>
        <c:manualLayout>
          <c:xMode val="edge"/>
          <c:yMode val="edge"/>
          <c:x val="5.1883814564525038E-2"/>
          <c:y val="0.37550912373831674"/>
          <c:w val="0.27703290057408758"/>
          <c:h val="0.42746751847434872"/>
        </c:manualLayout>
      </c:layout>
      <c:overlay val="0"/>
      <c:spPr>
        <a:noFill/>
        <a:ln>
          <a:noFill/>
        </a:ln>
        <a:effectLst/>
      </c:spPr>
      <c:txPr>
        <a:bodyPr rot="0" spcFirstLastPara="1" vertOverflow="ellipsis" vert="horz" wrap="square" anchor="ctr" anchorCtr="1"/>
        <a:lstStyle/>
        <a:p>
          <a:pPr rtl="0">
            <a:defRPr sz="105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legend>
    <c:plotVisOnly val="1"/>
    <c:dispBlanksAs val="gap"/>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012A4C"/>
            </a:solidFill>
          </c:spPr>
          <c:dPt>
            <c:idx val="0"/>
            <c:bubble3D val="0"/>
            <c:spPr>
              <a:solidFill>
                <a:srgbClr val="D1D1D1"/>
              </a:solidFill>
              <a:ln w="19050">
                <a:solidFill>
                  <a:srgbClr val="D1D1D1"/>
                </a:solidFill>
              </a:ln>
              <a:effectLst/>
            </c:spPr>
            <c:extLst>
              <c:ext xmlns:c16="http://schemas.microsoft.com/office/drawing/2014/chart" uri="{C3380CC4-5D6E-409C-BE32-E72D297353CC}">
                <c16:uniqueId val="{00000001-DB05-4BF6-833D-CDF230CB1A54}"/>
              </c:ext>
            </c:extLst>
          </c:dPt>
          <c:dPt>
            <c:idx val="1"/>
            <c:bubble3D val="0"/>
            <c:spPr>
              <a:solidFill>
                <a:srgbClr val="D1D1D1"/>
              </a:solidFill>
              <a:ln w="19050">
                <a:solidFill>
                  <a:srgbClr val="D1D1D1"/>
                </a:solidFill>
              </a:ln>
              <a:effectLst/>
            </c:spPr>
            <c:extLst>
              <c:ext xmlns:c16="http://schemas.microsoft.com/office/drawing/2014/chart" uri="{C3380CC4-5D6E-409C-BE32-E72D297353CC}">
                <c16:uniqueId val="{00000003-DB05-4BF6-833D-CDF230CB1A54}"/>
              </c:ext>
            </c:extLst>
          </c:dPt>
          <c:dPt>
            <c:idx val="2"/>
            <c:bubble3D val="0"/>
            <c:spPr>
              <a:solidFill>
                <a:srgbClr val="009FE3"/>
              </a:solidFill>
              <a:ln w="19050">
                <a:solidFill>
                  <a:schemeClr val="lt1"/>
                </a:solidFill>
              </a:ln>
              <a:effectLst/>
            </c:spPr>
            <c:extLst>
              <c:ext xmlns:c16="http://schemas.microsoft.com/office/drawing/2014/chart" uri="{C3380CC4-5D6E-409C-BE32-E72D297353CC}">
                <c16:uniqueId val="{00000005-DB05-4BF6-833D-CDF230CB1A54}"/>
              </c:ext>
            </c:extLst>
          </c:dPt>
          <c:dPt>
            <c:idx val="3"/>
            <c:bubble3D val="0"/>
            <c:spPr>
              <a:solidFill>
                <a:srgbClr val="005B91"/>
              </a:solidFill>
              <a:ln w="19050">
                <a:solidFill>
                  <a:schemeClr val="lt1"/>
                </a:solidFill>
              </a:ln>
              <a:effectLst/>
            </c:spPr>
            <c:extLst>
              <c:ext xmlns:c16="http://schemas.microsoft.com/office/drawing/2014/chart" uri="{C3380CC4-5D6E-409C-BE32-E72D297353CC}">
                <c16:uniqueId val="{00000007-DB05-4BF6-833D-CDF230CB1A54}"/>
              </c:ext>
            </c:extLst>
          </c:dPt>
          <c:dPt>
            <c:idx val="4"/>
            <c:bubble3D val="0"/>
            <c:spPr>
              <a:solidFill>
                <a:srgbClr val="012A4C"/>
              </a:solidFill>
              <a:ln w="19050">
                <a:solidFill>
                  <a:schemeClr val="lt1"/>
                </a:solidFill>
              </a:ln>
              <a:effectLst/>
            </c:spPr>
            <c:extLst>
              <c:ext xmlns:c16="http://schemas.microsoft.com/office/drawing/2014/chart" uri="{C3380CC4-5D6E-409C-BE32-E72D297353CC}">
                <c16:uniqueId val="{00000009-DB05-4BF6-833D-CDF230CB1A54}"/>
              </c:ext>
            </c:extLst>
          </c:dPt>
          <c:dLbls>
            <c:dLbl>
              <c:idx val="0"/>
              <c:delete val="1"/>
              <c:extLst>
                <c:ext xmlns:c15="http://schemas.microsoft.com/office/drawing/2012/chart" uri="{CE6537A1-D6FC-4f65-9D91-7224C49458BB}"/>
                <c:ext xmlns:c16="http://schemas.microsoft.com/office/drawing/2014/chart" uri="{C3380CC4-5D6E-409C-BE32-E72D297353CC}">
                  <c16:uniqueId val="{00000001-DB05-4BF6-833D-CDF230CB1A54}"/>
                </c:ext>
              </c:extLst>
            </c:dLbl>
            <c:dLbl>
              <c:idx val="1"/>
              <c:delete val="1"/>
              <c:extLst>
                <c:ext xmlns:c15="http://schemas.microsoft.com/office/drawing/2012/chart" uri="{CE6537A1-D6FC-4f65-9D91-7224C49458BB}"/>
                <c:ext xmlns:c16="http://schemas.microsoft.com/office/drawing/2014/chart" uri="{C3380CC4-5D6E-409C-BE32-E72D297353CC}">
                  <c16:uniqueId val="{00000003-DB05-4BF6-833D-CDF230CB1A54}"/>
                </c:ext>
              </c:extLst>
            </c:dLbl>
            <c:spPr>
              <a:solidFill>
                <a:schemeClr val="bg1">
                  <a:lumMod val="95000"/>
                </a:schemeClr>
              </a:solid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012A4C"/>
                    </a:solidFill>
                    <a:latin typeface="Source Sans Pro" panose="020B0503030403020204" pitchFamily="34" charset="0"/>
                    <a:ea typeface="Source Sans Pro" panose="020B0503030403020204" pitchFamily="34" charset="0"/>
                    <a:cs typeface="+mn-cs"/>
                  </a:defRPr>
                </a:pPr>
                <a:endParaRPr lang="nb-NO"/>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'Utregning av grafer'!$Q$176:$Q$180</c:f>
              <c:strCache>
                <c:ptCount val="5"/>
                <c:pt idx="0">
                  <c:v>Ikke spesifisert</c:v>
                </c:pt>
                <c:pt idx="1">
                  <c:v>0 år</c:v>
                </c:pt>
                <c:pt idx="2">
                  <c:v>2 år</c:v>
                </c:pt>
                <c:pt idx="3">
                  <c:v>3 år</c:v>
                </c:pt>
                <c:pt idx="4">
                  <c:v>5 år</c:v>
                </c:pt>
              </c:strCache>
            </c:strRef>
          </c:cat>
          <c:val>
            <c:numRef>
              <c:f>'Utregning av grafer'!$R$176:$R$180</c:f>
              <c:numCache>
                <c:formatCode>0%</c:formatCode>
                <c:ptCount val="5"/>
                <c:pt idx="0">
                  <c:v>0.15094339622641509</c:v>
                </c:pt>
                <c:pt idx="1">
                  <c:v>3.7735849056603772E-2</c:v>
                </c:pt>
                <c:pt idx="2">
                  <c:v>0.15094339622641509</c:v>
                </c:pt>
                <c:pt idx="3">
                  <c:v>1.8867924528301886E-2</c:v>
                </c:pt>
                <c:pt idx="4">
                  <c:v>0.64150943396226412</c:v>
                </c:pt>
              </c:numCache>
            </c:numRef>
          </c:val>
          <c:extLst>
            <c:ext xmlns:c16="http://schemas.microsoft.com/office/drawing/2014/chart" uri="{C3380CC4-5D6E-409C-BE32-E72D297353CC}">
              <c16:uniqueId val="{0000000A-DB05-4BF6-833D-CDF230CB1A54}"/>
            </c:ext>
          </c:extLst>
        </c:ser>
        <c:dLbls>
          <c:showLegendKey val="0"/>
          <c:showVal val="1"/>
          <c:showCatName val="0"/>
          <c:showSerName val="0"/>
          <c:showPercent val="0"/>
          <c:showBubbleSize val="0"/>
          <c:showLeaderLines val="1"/>
        </c:dLbls>
        <c:firstSliceAng val="0"/>
        <c:holeSize val="50"/>
      </c:doughnutChart>
      <c:spPr>
        <a:noFill/>
        <a:ln>
          <a:noFill/>
        </a:ln>
        <a:effectLst/>
      </c:spPr>
    </c:plotArea>
    <c:legend>
      <c:legendPos val="l"/>
      <c:legendEntry>
        <c:idx val="0"/>
        <c:delete val="1"/>
      </c:legendEntry>
      <c:legendEntry>
        <c:idx val="1"/>
        <c:delete val="1"/>
      </c:legendEntry>
      <c:layout>
        <c:manualLayout>
          <c:xMode val="edge"/>
          <c:yMode val="edge"/>
          <c:x val="5.7326944708834475E-2"/>
          <c:y val="0.33073355319436004"/>
          <c:w val="0.161410061182132"/>
          <c:h val="0.37867955417636268"/>
        </c:manualLayout>
      </c:layout>
      <c:overlay val="0"/>
      <c:spPr>
        <a:noFill/>
        <a:ln>
          <a:noFill/>
        </a:ln>
        <a:effectLst/>
      </c:spPr>
      <c:txPr>
        <a:bodyPr rot="0" spcFirstLastPara="1" vertOverflow="ellipsis" vert="horz" wrap="square" anchor="ctr" anchorCtr="1"/>
        <a:lstStyle/>
        <a:p>
          <a:pPr rtl="0">
            <a:defRPr sz="105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legend>
    <c:plotVisOnly val="1"/>
    <c:dispBlanksAs val="gap"/>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012A4C"/>
            </a:solidFill>
          </c:spPr>
          <c:dPt>
            <c:idx val="0"/>
            <c:bubble3D val="0"/>
            <c:spPr>
              <a:solidFill>
                <a:srgbClr val="012A4C"/>
              </a:solidFill>
              <a:ln w="19050">
                <a:solidFill>
                  <a:schemeClr val="lt1"/>
                </a:solidFill>
              </a:ln>
              <a:effectLst/>
            </c:spPr>
            <c:extLst>
              <c:ext xmlns:c16="http://schemas.microsoft.com/office/drawing/2014/chart" uri="{C3380CC4-5D6E-409C-BE32-E72D297353CC}">
                <c16:uniqueId val="{00000001-DB3C-4B47-B7FD-9E0A84B5D4B7}"/>
              </c:ext>
            </c:extLst>
          </c:dPt>
          <c:dPt>
            <c:idx val="1"/>
            <c:bubble3D val="0"/>
            <c:spPr>
              <a:solidFill>
                <a:srgbClr val="D1D1D1"/>
              </a:solidFill>
              <a:ln w="19050">
                <a:solidFill>
                  <a:schemeClr val="lt1"/>
                </a:solidFill>
              </a:ln>
              <a:effectLst/>
            </c:spPr>
            <c:extLst>
              <c:ext xmlns:c16="http://schemas.microsoft.com/office/drawing/2014/chart" uri="{C3380CC4-5D6E-409C-BE32-E72D297353CC}">
                <c16:uniqueId val="{00000003-DB3C-4B47-B7FD-9E0A84B5D4B7}"/>
              </c:ext>
            </c:extLst>
          </c:dPt>
          <c:dLbls>
            <c:dLbl>
              <c:idx val="0"/>
              <c:layout>
                <c:manualLayout>
                  <c:x val="-0.16832058981317038"/>
                  <c:y val="2.2252643963084975E-4"/>
                </c:manualLayout>
              </c:layout>
              <c:spPr>
                <a:solidFill>
                  <a:srgbClr val="EFEFEF"/>
                </a:solidFill>
                <a:ln>
                  <a:solidFill>
                    <a:srgbClr val="EFEFEF"/>
                  </a:solidFill>
                </a:ln>
                <a:effectLst/>
              </c:spPr>
              <c:txPr>
                <a:bodyPr rot="0" spcFirstLastPara="1" vertOverflow="clip" horzOverflow="clip" vert="horz" wrap="square" lIns="38100" tIns="19050" rIns="38100" bIns="19050" anchor="ctr" anchorCtr="1">
                  <a:no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ellipse">
                      <a:avLst/>
                    </a:prstGeom>
                    <a:noFill/>
                    <a:ln>
                      <a:noFill/>
                    </a:ln>
                  </c15:spPr>
                  <c15:layout>
                    <c:manualLayout>
                      <c:w val="0.18335676518944771"/>
                      <c:h val="0.15917627515013452"/>
                    </c:manualLayout>
                  </c15:layout>
                </c:ext>
                <c:ext xmlns:c16="http://schemas.microsoft.com/office/drawing/2014/chart" uri="{C3380CC4-5D6E-409C-BE32-E72D297353CC}">
                  <c16:uniqueId val="{00000001-DB3C-4B47-B7FD-9E0A84B5D4B7}"/>
                </c:ext>
              </c:extLst>
            </c:dLbl>
            <c:dLbl>
              <c:idx val="1"/>
              <c:delete val="1"/>
              <c:extLst>
                <c:ext xmlns:c15="http://schemas.microsoft.com/office/drawing/2012/chart" uri="{CE6537A1-D6FC-4f65-9D91-7224C49458BB}">
                  <c15:layout>
                    <c:manualLayout>
                      <c:w val="0.27826745945743964"/>
                      <c:h val="0.31296246542270384"/>
                    </c:manualLayout>
                  </c15:layout>
                </c:ext>
                <c:ext xmlns:c16="http://schemas.microsoft.com/office/drawing/2014/chart" uri="{C3380CC4-5D6E-409C-BE32-E72D297353CC}">
                  <c16:uniqueId val="{00000003-DB3C-4B47-B7FD-9E0A84B5D4B7}"/>
                </c:ext>
              </c:extLst>
            </c:dLbl>
            <c:spPr>
              <a:solidFill>
                <a:srgbClr val="EFEFEF"/>
              </a:solidFill>
              <a:ln>
                <a:solidFill>
                  <a:srgbClr val="EFEFEF"/>
                </a:solidFill>
              </a:ln>
              <a:effectLst/>
            </c:spPr>
            <c:txPr>
              <a:bodyPr rot="0" spcFirstLastPara="1" vertOverflow="clip" horzOverflow="clip" vert="horz" wrap="square" lIns="38100" tIns="19050" rIns="38100" bIns="19050" anchor="ctr" anchorCtr="1">
                <a:sp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'Utregning av grafer'!$L$184:$M$184</c:f>
              <c:strCache>
                <c:ptCount val="2"/>
                <c:pt idx="0">
                  <c:v>Andel anskaffelser som har stilt krav til enkel rengjøring av møblene</c:v>
                </c:pt>
                <c:pt idx="1">
                  <c:v>Ikke stilt krav</c:v>
                </c:pt>
              </c:strCache>
            </c:strRef>
          </c:cat>
          <c:val>
            <c:numRef>
              <c:f>'Utregning av grafer'!$L$185:$M$185</c:f>
              <c:numCache>
                <c:formatCode>0%</c:formatCode>
                <c:ptCount val="2"/>
                <c:pt idx="0">
                  <c:v>0.50943396226415094</c:v>
                </c:pt>
                <c:pt idx="1">
                  <c:v>0.49056603773584906</c:v>
                </c:pt>
              </c:numCache>
            </c:numRef>
          </c:val>
          <c:extLst>
            <c:ext xmlns:c16="http://schemas.microsoft.com/office/drawing/2014/chart" uri="{C3380CC4-5D6E-409C-BE32-E72D297353CC}">
              <c16:uniqueId val="{00000004-DB3C-4B47-B7FD-9E0A84B5D4B7}"/>
            </c:ext>
          </c:extLst>
        </c:ser>
        <c:dLbls>
          <c:showLegendKey val="0"/>
          <c:showVal val="0"/>
          <c:showCatName val="0"/>
          <c:showSerName val="0"/>
          <c:showPercent val="0"/>
          <c:showBubbleSize val="0"/>
          <c:showLeaderLines val="0"/>
        </c:dLbls>
        <c:firstSliceAng val="0"/>
        <c:holeSize val="50"/>
      </c:doughnutChart>
      <c:spPr>
        <a:noFill/>
        <a:ln>
          <a:noFill/>
        </a:ln>
        <a:effectLst/>
      </c:spPr>
    </c:plotArea>
    <c:legend>
      <c:legendPos val="l"/>
      <c:legendEntry>
        <c:idx val="1"/>
        <c:delete val="1"/>
      </c:legendEntry>
      <c:layout>
        <c:manualLayout>
          <c:xMode val="edge"/>
          <c:yMode val="edge"/>
          <c:x val="1.6551724137931035E-2"/>
          <c:y val="0.37550928783504628"/>
          <c:w val="0.38574705403203907"/>
          <c:h val="0.24898142432990744"/>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legend>
    <c:plotVisOnly val="1"/>
    <c:dispBlanksAs val="gap"/>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012A4C"/>
            </a:solidFill>
          </c:spPr>
          <c:dPt>
            <c:idx val="0"/>
            <c:bubble3D val="0"/>
            <c:spPr>
              <a:solidFill>
                <a:srgbClr val="012A4C"/>
              </a:solidFill>
              <a:ln w="19050">
                <a:solidFill>
                  <a:schemeClr val="lt1"/>
                </a:solidFill>
              </a:ln>
              <a:effectLst/>
            </c:spPr>
            <c:extLst>
              <c:ext xmlns:c16="http://schemas.microsoft.com/office/drawing/2014/chart" uri="{C3380CC4-5D6E-409C-BE32-E72D297353CC}">
                <c16:uniqueId val="{00000001-BBAE-4E34-A1D3-532C3F09E80A}"/>
              </c:ext>
            </c:extLst>
          </c:dPt>
          <c:dPt>
            <c:idx val="1"/>
            <c:bubble3D val="0"/>
            <c:spPr>
              <a:solidFill>
                <a:srgbClr val="D1D1D1"/>
              </a:solidFill>
              <a:ln w="19050">
                <a:solidFill>
                  <a:schemeClr val="lt1"/>
                </a:solidFill>
              </a:ln>
              <a:effectLst/>
            </c:spPr>
            <c:extLst>
              <c:ext xmlns:c16="http://schemas.microsoft.com/office/drawing/2014/chart" uri="{C3380CC4-5D6E-409C-BE32-E72D297353CC}">
                <c16:uniqueId val="{00000003-BBAE-4E34-A1D3-532C3F09E80A}"/>
              </c:ext>
            </c:extLst>
          </c:dPt>
          <c:dLbls>
            <c:dLbl>
              <c:idx val="0"/>
              <c:layout>
                <c:manualLayout>
                  <c:x val="-2.4801683457633967E-2"/>
                  <c:y val="0.28808575093229044"/>
                </c:manualLayout>
              </c:layout>
              <c:spPr>
                <a:solidFill>
                  <a:srgbClr val="EFEFEF"/>
                </a:solidFill>
                <a:ln>
                  <a:solidFill>
                    <a:srgbClr val="EFEFEF"/>
                  </a:solidFill>
                </a:ln>
                <a:effectLst/>
              </c:spPr>
              <c:txPr>
                <a:bodyPr rot="0" spcFirstLastPara="1" vertOverflow="clip" horzOverflow="clip" vert="horz" wrap="square" lIns="38100" tIns="19050" rIns="38100" bIns="19050" anchor="ctr" anchorCtr="1">
                  <a:no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ellipse">
                      <a:avLst/>
                    </a:prstGeom>
                    <a:noFill/>
                    <a:ln>
                      <a:noFill/>
                    </a:ln>
                  </c15:spPr>
                  <c15:layout>
                    <c:manualLayout>
                      <c:w val="0.18335676518944771"/>
                      <c:h val="0.15917627515013452"/>
                    </c:manualLayout>
                  </c15:layout>
                </c:ext>
                <c:ext xmlns:c16="http://schemas.microsoft.com/office/drawing/2014/chart" uri="{C3380CC4-5D6E-409C-BE32-E72D297353CC}">
                  <c16:uniqueId val="{00000001-BBAE-4E34-A1D3-532C3F09E80A}"/>
                </c:ext>
              </c:extLst>
            </c:dLbl>
            <c:dLbl>
              <c:idx val="1"/>
              <c:delete val="1"/>
              <c:extLst>
                <c:ext xmlns:c15="http://schemas.microsoft.com/office/drawing/2012/chart" uri="{CE6537A1-D6FC-4f65-9D91-7224C49458BB}">
                  <c15:layout>
                    <c:manualLayout>
                      <c:w val="0.27826745945743964"/>
                      <c:h val="0.31296246542270384"/>
                    </c:manualLayout>
                  </c15:layout>
                </c:ext>
                <c:ext xmlns:c16="http://schemas.microsoft.com/office/drawing/2014/chart" uri="{C3380CC4-5D6E-409C-BE32-E72D297353CC}">
                  <c16:uniqueId val="{00000003-BBAE-4E34-A1D3-532C3F09E80A}"/>
                </c:ext>
              </c:extLst>
            </c:dLbl>
            <c:spPr>
              <a:solidFill>
                <a:srgbClr val="EFEFEF"/>
              </a:solidFill>
              <a:ln>
                <a:solidFill>
                  <a:srgbClr val="EFEFEF"/>
                </a:solidFill>
              </a:ln>
              <a:effectLst/>
            </c:spPr>
            <c:txPr>
              <a:bodyPr rot="0" spcFirstLastPara="1" vertOverflow="clip" horzOverflow="clip" vert="horz" wrap="square" lIns="38100" tIns="19050" rIns="38100" bIns="19050" anchor="ctr" anchorCtr="1">
                <a:sp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'Utregning av grafer'!$A$193:$B$193</c:f>
              <c:strCache>
                <c:ptCount val="2"/>
                <c:pt idx="0">
                  <c:v>Andel av anskaffelser som har stilt krav til andel resirkulert materiale</c:v>
                </c:pt>
                <c:pt idx="1">
                  <c:v>Ikke stilt krav </c:v>
                </c:pt>
              </c:strCache>
            </c:strRef>
          </c:cat>
          <c:val>
            <c:numRef>
              <c:f>'Utregning av grafer'!$A$194:$B$194</c:f>
              <c:numCache>
                <c:formatCode>0%</c:formatCode>
                <c:ptCount val="2"/>
                <c:pt idx="0">
                  <c:v>5.6603773584905662E-2</c:v>
                </c:pt>
                <c:pt idx="1">
                  <c:v>0.94339622641509435</c:v>
                </c:pt>
              </c:numCache>
            </c:numRef>
          </c:val>
          <c:extLst>
            <c:ext xmlns:c16="http://schemas.microsoft.com/office/drawing/2014/chart" uri="{C3380CC4-5D6E-409C-BE32-E72D297353CC}">
              <c16:uniqueId val="{00000004-BBAE-4E34-A1D3-532C3F09E80A}"/>
            </c:ext>
          </c:extLst>
        </c:ser>
        <c:dLbls>
          <c:showLegendKey val="0"/>
          <c:showVal val="0"/>
          <c:showCatName val="0"/>
          <c:showSerName val="0"/>
          <c:showPercent val="0"/>
          <c:showBubbleSize val="0"/>
          <c:showLeaderLines val="0"/>
        </c:dLbls>
        <c:firstSliceAng val="0"/>
        <c:holeSize val="50"/>
      </c:doughnutChart>
      <c:spPr>
        <a:noFill/>
        <a:ln>
          <a:noFill/>
        </a:ln>
        <a:effectLst/>
      </c:spPr>
    </c:plotArea>
    <c:legend>
      <c:legendPos val="l"/>
      <c:legendEntry>
        <c:idx val="1"/>
        <c:delete val="1"/>
      </c:legendEntry>
      <c:layout>
        <c:manualLayout>
          <c:xMode val="edge"/>
          <c:yMode val="edge"/>
          <c:x val="1.6551724137931035E-2"/>
          <c:y val="0.37550928783504628"/>
          <c:w val="0.38574705403203907"/>
          <c:h val="0.24898142432990744"/>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legend>
    <c:plotVisOnly val="1"/>
    <c:dispBlanksAs val="gap"/>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012A4C"/>
            </a:solidFill>
          </c:spPr>
          <c:dPt>
            <c:idx val="0"/>
            <c:bubble3D val="0"/>
            <c:spPr>
              <a:solidFill>
                <a:srgbClr val="012A4C"/>
              </a:solidFill>
              <a:ln w="19050">
                <a:solidFill>
                  <a:schemeClr val="lt1"/>
                </a:solidFill>
              </a:ln>
              <a:effectLst/>
            </c:spPr>
            <c:extLst>
              <c:ext xmlns:c16="http://schemas.microsoft.com/office/drawing/2014/chart" uri="{C3380CC4-5D6E-409C-BE32-E72D297353CC}">
                <c16:uniqueId val="{00000001-063C-4932-B3CE-D4A36BD1B1A6}"/>
              </c:ext>
            </c:extLst>
          </c:dPt>
          <c:dPt>
            <c:idx val="1"/>
            <c:bubble3D val="0"/>
            <c:spPr>
              <a:solidFill>
                <a:srgbClr val="D1D1D1"/>
              </a:solidFill>
              <a:ln w="19050">
                <a:solidFill>
                  <a:schemeClr val="lt1"/>
                </a:solidFill>
              </a:ln>
              <a:effectLst/>
            </c:spPr>
            <c:extLst>
              <c:ext xmlns:c16="http://schemas.microsoft.com/office/drawing/2014/chart" uri="{C3380CC4-5D6E-409C-BE32-E72D297353CC}">
                <c16:uniqueId val="{00000003-063C-4932-B3CE-D4A36BD1B1A6}"/>
              </c:ext>
            </c:extLst>
          </c:dPt>
          <c:dLbls>
            <c:dLbl>
              <c:idx val="0"/>
              <c:layout>
                <c:manualLayout>
                  <c:x val="-0.15487987880008255"/>
                  <c:y val="0.12215735980736045"/>
                </c:manualLayout>
              </c:layout>
              <c:spPr>
                <a:solidFill>
                  <a:srgbClr val="EFEFEF"/>
                </a:solidFill>
                <a:ln>
                  <a:solidFill>
                    <a:srgbClr val="EFEFEF"/>
                  </a:solidFill>
                </a:ln>
                <a:effectLst/>
              </c:spPr>
              <c:txPr>
                <a:bodyPr rot="0" spcFirstLastPara="1" vertOverflow="clip" horzOverflow="clip" vert="horz" wrap="square" lIns="38100" tIns="19050" rIns="38100" bIns="19050" anchor="ctr" anchorCtr="1">
                  <a:no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ellipse">
                      <a:avLst/>
                    </a:prstGeom>
                    <a:noFill/>
                    <a:ln>
                      <a:noFill/>
                    </a:ln>
                  </c15:spPr>
                  <c15:layout>
                    <c:manualLayout>
                      <c:w val="0.18335676518944771"/>
                      <c:h val="0.15917627515013452"/>
                    </c:manualLayout>
                  </c15:layout>
                </c:ext>
                <c:ext xmlns:c16="http://schemas.microsoft.com/office/drawing/2014/chart" uri="{C3380CC4-5D6E-409C-BE32-E72D297353CC}">
                  <c16:uniqueId val="{00000001-063C-4932-B3CE-D4A36BD1B1A6}"/>
                </c:ext>
              </c:extLst>
            </c:dLbl>
            <c:dLbl>
              <c:idx val="1"/>
              <c:delete val="1"/>
              <c:extLst>
                <c:ext xmlns:c15="http://schemas.microsoft.com/office/drawing/2012/chart" uri="{CE6537A1-D6FC-4f65-9D91-7224C49458BB}">
                  <c15:layout>
                    <c:manualLayout>
                      <c:w val="0.27826745945743964"/>
                      <c:h val="0.31296246542270384"/>
                    </c:manualLayout>
                  </c15:layout>
                </c:ext>
                <c:ext xmlns:c16="http://schemas.microsoft.com/office/drawing/2014/chart" uri="{C3380CC4-5D6E-409C-BE32-E72D297353CC}">
                  <c16:uniqueId val="{00000003-063C-4932-B3CE-D4A36BD1B1A6}"/>
                </c:ext>
              </c:extLst>
            </c:dLbl>
            <c:spPr>
              <a:solidFill>
                <a:srgbClr val="EFEFEF"/>
              </a:solidFill>
              <a:ln>
                <a:solidFill>
                  <a:srgbClr val="EFEFEF"/>
                </a:solidFill>
              </a:ln>
              <a:effectLst/>
            </c:spPr>
            <c:txPr>
              <a:bodyPr rot="0" spcFirstLastPara="1" vertOverflow="clip" horzOverflow="clip" vert="horz" wrap="square" lIns="38100" tIns="19050" rIns="38100" bIns="19050" anchor="ctr" anchorCtr="1">
                <a:sp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'Utregning av grafer'!$L$198:$M$198</c:f>
              <c:strCache>
                <c:ptCount val="2"/>
                <c:pt idx="0">
                  <c:v>Andel anskaffelser som har stilt krav til miljøvennelig emballasje</c:v>
                </c:pt>
                <c:pt idx="1">
                  <c:v>Ikke stilt krav</c:v>
                </c:pt>
              </c:strCache>
            </c:strRef>
          </c:cat>
          <c:val>
            <c:numRef>
              <c:f>'Utregning av grafer'!$L$199:$M$199</c:f>
              <c:numCache>
                <c:formatCode>0%</c:formatCode>
                <c:ptCount val="2"/>
                <c:pt idx="0">
                  <c:v>0.35849056603773582</c:v>
                </c:pt>
                <c:pt idx="1">
                  <c:v>0.64150943396226423</c:v>
                </c:pt>
              </c:numCache>
            </c:numRef>
          </c:val>
          <c:extLst>
            <c:ext xmlns:c16="http://schemas.microsoft.com/office/drawing/2014/chart" uri="{C3380CC4-5D6E-409C-BE32-E72D297353CC}">
              <c16:uniqueId val="{00000004-063C-4932-B3CE-D4A36BD1B1A6}"/>
            </c:ext>
          </c:extLst>
        </c:ser>
        <c:dLbls>
          <c:showLegendKey val="0"/>
          <c:showVal val="0"/>
          <c:showCatName val="0"/>
          <c:showSerName val="0"/>
          <c:showPercent val="0"/>
          <c:showBubbleSize val="0"/>
          <c:showLeaderLines val="0"/>
        </c:dLbls>
        <c:firstSliceAng val="0"/>
        <c:holeSize val="50"/>
      </c:doughnutChart>
      <c:spPr>
        <a:noFill/>
        <a:ln>
          <a:noFill/>
        </a:ln>
        <a:effectLst/>
      </c:spPr>
    </c:plotArea>
    <c:legend>
      <c:legendPos val="l"/>
      <c:legendEntry>
        <c:idx val="1"/>
        <c:delete val="1"/>
      </c:legendEntry>
      <c:layout>
        <c:manualLayout>
          <c:xMode val="edge"/>
          <c:yMode val="edge"/>
          <c:x val="1.6551724137931035E-2"/>
          <c:y val="0.37550928783504628"/>
          <c:w val="0.38574705403203907"/>
          <c:h val="0.24898142432990744"/>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legend>
    <c:plotVisOnly val="1"/>
    <c:dispBlanksAs val="gap"/>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012A4C"/>
            </a:solidFill>
          </c:spPr>
          <c:dPt>
            <c:idx val="0"/>
            <c:bubble3D val="0"/>
            <c:spPr>
              <a:solidFill>
                <a:srgbClr val="012A4C"/>
              </a:solidFill>
              <a:ln w="19050">
                <a:solidFill>
                  <a:schemeClr val="lt1"/>
                </a:solidFill>
              </a:ln>
              <a:effectLst/>
            </c:spPr>
            <c:extLst>
              <c:ext xmlns:c16="http://schemas.microsoft.com/office/drawing/2014/chart" uri="{C3380CC4-5D6E-409C-BE32-E72D297353CC}">
                <c16:uniqueId val="{00000001-93CC-4BF0-B483-8C52AB7C1C25}"/>
              </c:ext>
            </c:extLst>
          </c:dPt>
          <c:dPt>
            <c:idx val="1"/>
            <c:bubble3D val="0"/>
            <c:spPr>
              <a:solidFill>
                <a:srgbClr val="D1D1D1"/>
              </a:solidFill>
              <a:ln w="19050">
                <a:solidFill>
                  <a:schemeClr val="lt1"/>
                </a:solidFill>
              </a:ln>
              <a:effectLst/>
            </c:spPr>
            <c:extLst>
              <c:ext xmlns:c16="http://schemas.microsoft.com/office/drawing/2014/chart" uri="{C3380CC4-5D6E-409C-BE32-E72D297353CC}">
                <c16:uniqueId val="{00000003-93CC-4BF0-B483-8C52AB7C1C25}"/>
              </c:ext>
            </c:extLst>
          </c:dPt>
          <c:dLbls>
            <c:dLbl>
              <c:idx val="0"/>
              <c:layout>
                <c:manualLayout>
                  <c:x val="-9.3992261998935664E-2"/>
                  <c:y val="-0.23884836770030798"/>
                </c:manualLayout>
              </c:layout>
              <c:spPr>
                <a:solidFill>
                  <a:srgbClr val="EFEFEF"/>
                </a:solidFill>
                <a:ln>
                  <a:solidFill>
                    <a:srgbClr val="EFEFEF"/>
                  </a:solidFill>
                </a:ln>
                <a:effectLst/>
              </c:spPr>
              <c:txPr>
                <a:bodyPr rot="0" spcFirstLastPara="1" vertOverflow="clip" horzOverflow="clip" vert="horz" wrap="square" lIns="38100" tIns="19050" rIns="38100" bIns="19050" anchor="ctr" anchorCtr="1">
                  <a:no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ellipse">
                      <a:avLst/>
                    </a:prstGeom>
                    <a:noFill/>
                    <a:ln>
                      <a:noFill/>
                    </a:ln>
                  </c15:spPr>
                  <c15:layout>
                    <c:manualLayout>
                      <c:w val="0.18335676518944771"/>
                      <c:h val="0.15917627515013452"/>
                    </c:manualLayout>
                  </c15:layout>
                </c:ext>
                <c:ext xmlns:c16="http://schemas.microsoft.com/office/drawing/2014/chart" uri="{C3380CC4-5D6E-409C-BE32-E72D297353CC}">
                  <c16:uniqueId val="{00000001-93CC-4BF0-B483-8C52AB7C1C25}"/>
                </c:ext>
              </c:extLst>
            </c:dLbl>
            <c:dLbl>
              <c:idx val="1"/>
              <c:delete val="1"/>
              <c:extLst>
                <c:ext xmlns:c15="http://schemas.microsoft.com/office/drawing/2012/chart" uri="{CE6537A1-D6FC-4f65-9D91-7224C49458BB}">
                  <c15:layout>
                    <c:manualLayout>
                      <c:w val="0.27826745945743964"/>
                      <c:h val="0.31296246542270384"/>
                    </c:manualLayout>
                  </c15:layout>
                </c:ext>
                <c:ext xmlns:c16="http://schemas.microsoft.com/office/drawing/2014/chart" uri="{C3380CC4-5D6E-409C-BE32-E72D297353CC}">
                  <c16:uniqueId val="{00000003-93CC-4BF0-B483-8C52AB7C1C25}"/>
                </c:ext>
              </c:extLst>
            </c:dLbl>
            <c:spPr>
              <a:solidFill>
                <a:srgbClr val="EFEFEF"/>
              </a:solidFill>
              <a:ln>
                <a:solidFill>
                  <a:srgbClr val="EFEFEF"/>
                </a:solidFill>
              </a:ln>
              <a:effectLst/>
            </c:spPr>
            <c:txPr>
              <a:bodyPr rot="0" spcFirstLastPara="1" vertOverflow="clip" horzOverflow="clip" vert="horz" wrap="square" lIns="38100" tIns="19050" rIns="38100" bIns="19050" anchor="ctr" anchorCtr="1">
                <a:sp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'Utregning av grafer'!$L$206:$M$206</c:f>
              <c:strCache>
                <c:ptCount val="2"/>
                <c:pt idx="0">
                  <c:v>Andel av anskaffelser som har stilt krav til gjenvinnbar emballasje</c:v>
                </c:pt>
                <c:pt idx="1">
                  <c:v>Ikke stilt krav</c:v>
                </c:pt>
              </c:strCache>
            </c:strRef>
          </c:cat>
          <c:val>
            <c:numRef>
              <c:f>'Utregning av grafer'!$L$207:$M$207</c:f>
              <c:numCache>
                <c:formatCode>0%</c:formatCode>
                <c:ptCount val="2"/>
                <c:pt idx="0">
                  <c:v>0.83018867924528306</c:v>
                </c:pt>
                <c:pt idx="1">
                  <c:v>0.16981132075471694</c:v>
                </c:pt>
              </c:numCache>
            </c:numRef>
          </c:val>
          <c:extLst>
            <c:ext xmlns:c16="http://schemas.microsoft.com/office/drawing/2014/chart" uri="{C3380CC4-5D6E-409C-BE32-E72D297353CC}">
              <c16:uniqueId val="{00000004-93CC-4BF0-B483-8C52AB7C1C25}"/>
            </c:ext>
          </c:extLst>
        </c:ser>
        <c:dLbls>
          <c:showLegendKey val="0"/>
          <c:showVal val="0"/>
          <c:showCatName val="0"/>
          <c:showSerName val="0"/>
          <c:showPercent val="0"/>
          <c:showBubbleSize val="0"/>
          <c:showLeaderLines val="0"/>
        </c:dLbls>
        <c:firstSliceAng val="0"/>
        <c:holeSize val="50"/>
      </c:doughnutChart>
      <c:spPr>
        <a:noFill/>
        <a:ln>
          <a:noFill/>
        </a:ln>
        <a:effectLst/>
      </c:spPr>
    </c:plotArea>
    <c:legend>
      <c:legendPos val="l"/>
      <c:legendEntry>
        <c:idx val="1"/>
        <c:delete val="1"/>
      </c:legendEntry>
      <c:layout>
        <c:manualLayout>
          <c:xMode val="edge"/>
          <c:yMode val="edge"/>
          <c:x val="1.6551724137931035E-2"/>
          <c:y val="0.37550928783504628"/>
          <c:w val="0.38574705403203907"/>
          <c:h val="0.24898142432990744"/>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legend>
    <c:plotVisOnly val="1"/>
    <c:dispBlanksAs val="gap"/>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012A4C"/>
            </a:solidFill>
          </c:spPr>
          <c:dPt>
            <c:idx val="0"/>
            <c:bubble3D val="0"/>
            <c:spPr>
              <a:solidFill>
                <a:srgbClr val="012A4C"/>
              </a:solidFill>
              <a:ln w="19050">
                <a:solidFill>
                  <a:schemeClr val="lt1"/>
                </a:solidFill>
              </a:ln>
              <a:effectLst/>
            </c:spPr>
            <c:extLst>
              <c:ext xmlns:c16="http://schemas.microsoft.com/office/drawing/2014/chart" uri="{C3380CC4-5D6E-409C-BE32-E72D297353CC}">
                <c16:uniqueId val="{00000001-CBAF-4694-8053-82961DAF107C}"/>
              </c:ext>
            </c:extLst>
          </c:dPt>
          <c:dPt>
            <c:idx val="1"/>
            <c:bubble3D val="0"/>
            <c:spPr>
              <a:solidFill>
                <a:srgbClr val="D1D1D1"/>
              </a:solidFill>
              <a:ln w="19050">
                <a:solidFill>
                  <a:schemeClr val="lt1"/>
                </a:solidFill>
              </a:ln>
              <a:effectLst/>
            </c:spPr>
            <c:extLst>
              <c:ext xmlns:c16="http://schemas.microsoft.com/office/drawing/2014/chart" uri="{C3380CC4-5D6E-409C-BE32-E72D297353CC}">
                <c16:uniqueId val="{00000003-CBAF-4694-8053-82961DAF107C}"/>
              </c:ext>
            </c:extLst>
          </c:dPt>
          <c:dLbls>
            <c:dLbl>
              <c:idx val="0"/>
              <c:layout>
                <c:manualLayout>
                  <c:x val="-7.4610576080030799E-2"/>
                  <c:y val="-0.24671555720445057"/>
                </c:manualLayout>
              </c:layout>
              <c:spPr>
                <a:solidFill>
                  <a:srgbClr val="EFEFEF"/>
                </a:solidFill>
                <a:ln>
                  <a:solidFill>
                    <a:srgbClr val="EFEFEF"/>
                  </a:solidFill>
                </a:ln>
                <a:effectLst/>
              </c:spPr>
              <c:txPr>
                <a:bodyPr rot="0" spcFirstLastPara="1" vertOverflow="clip" horzOverflow="clip" vert="horz" wrap="square" lIns="38100" tIns="19050" rIns="38100" bIns="19050" anchor="ctr" anchorCtr="1">
                  <a:no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ellipse">
                      <a:avLst/>
                    </a:prstGeom>
                    <a:noFill/>
                    <a:ln>
                      <a:noFill/>
                    </a:ln>
                  </c15:spPr>
                  <c15:layout>
                    <c:manualLayout>
                      <c:w val="0.18335676518944771"/>
                      <c:h val="0.15917627515013452"/>
                    </c:manualLayout>
                  </c15:layout>
                </c:ext>
                <c:ext xmlns:c16="http://schemas.microsoft.com/office/drawing/2014/chart" uri="{C3380CC4-5D6E-409C-BE32-E72D297353CC}">
                  <c16:uniqueId val="{00000001-CBAF-4694-8053-82961DAF107C}"/>
                </c:ext>
              </c:extLst>
            </c:dLbl>
            <c:dLbl>
              <c:idx val="1"/>
              <c:delete val="1"/>
              <c:extLst>
                <c:ext xmlns:c15="http://schemas.microsoft.com/office/drawing/2012/chart" uri="{CE6537A1-D6FC-4f65-9D91-7224C49458BB}">
                  <c15:layout>
                    <c:manualLayout>
                      <c:w val="0.27826745945743964"/>
                      <c:h val="0.31296246542270384"/>
                    </c:manualLayout>
                  </c15:layout>
                </c:ext>
                <c:ext xmlns:c16="http://schemas.microsoft.com/office/drawing/2014/chart" uri="{C3380CC4-5D6E-409C-BE32-E72D297353CC}">
                  <c16:uniqueId val="{00000003-CBAF-4694-8053-82961DAF107C}"/>
                </c:ext>
              </c:extLst>
            </c:dLbl>
            <c:spPr>
              <a:solidFill>
                <a:srgbClr val="EFEFEF"/>
              </a:solidFill>
              <a:ln>
                <a:solidFill>
                  <a:srgbClr val="EFEFEF"/>
                </a:solidFill>
              </a:ln>
              <a:effectLst/>
            </c:spPr>
            <c:txPr>
              <a:bodyPr rot="0" spcFirstLastPara="1" vertOverflow="clip" horzOverflow="clip" vert="horz" wrap="square" lIns="38100" tIns="19050" rIns="38100" bIns="19050" anchor="ctr" anchorCtr="1">
                <a:sp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'Utregning av grafer'!$A$215:$B$215</c:f>
              <c:strCache>
                <c:ptCount val="2"/>
                <c:pt idx="0">
                  <c:v>Andel anskaffelser som har stilt krav til kjemikalier</c:v>
                </c:pt>
                <c:pt idx="1">
                  <c:v>Har ikke stilt krav til kjemikalier</c:v>
                </c:pt>
              </c:strCache>
            </c:strRef>
          </c:cat>
          <c:val>
            <c:numRef>
              <c:f>'Utregning av grafer'!$A$217:$B$217</c:f>
              <c:numCache>
                <c:formatCode>0%</c:formatCode>
                <c:ptCount val="2"/>
                <c:pt idx="0">
                  <c:v>0.86792452830188682</c:v>
                </c:pt>
                <c:pt idx="1">
                  <c:v>0.13207547169811321</c:v>
                </c:pt>
              </c:numCache>
            </c:numRef>
          </c:val>
          <c:extLst>
            <c:ext xmlns:c16="http://schemas.microsoft.com/office/drawing/2014/chart" uri="{C3380CC4-5D6E-409C-BE32-E72D297353CC}">
              <c16:uniqueId val="{00000004-CBAF-4694-8053-82961DAF107C}"/>
            </c:ext>
          </c:extLst>
        </c:ser>
        <c:dLbls>
          <c:showLegendKey val="0"/>
          <c:showVal val="0"/>
          <c:showCatName val="0"/>
          <c:showSerName val="0"/>
          <c:showPercent val="0"/>
          <c:showBubbleSize val="0"/>
          <c:showLeaderLines val="0"/>
        </c:dLbls>
        <c:firstSliceAng val="0"/>
        <c:holeSize val="50"/>
      </c:doughnutChart>
      <c:spPr>
        <a:noFill/>
        <a:ln>
          <a:noFill/>
        </a:ln>
        <a:effectLst/>
      </c:spPr>
    </c:plotArea>
    <c:legend>
      <c:legendPos val="l"/>
      <c:legendEntry>
        <c:idx val="1"/>
        <c:delete val="1"/>
      </c:legendEntry>
      <c:layout>
        <c:manualLayout>
          <c:xMode val="edge"/>
          <c:yMode val="edge"/>
          <c:x val="1.6551724137931035E-2"/>
          <c:y val="0.37550928783504628"/>
          <c:w val="0.37474148454488576"/>
          <c:h val="0.24898142432990744"/>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legend>
    <c:plotVisOnly val="1"/>
    <c:dispBlanksAs val="gap"/>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'Utregning av grafer'!$E$223</c:f>
              <c:strCache>
                <c:ptCount val="1"/>
                <c:pt idx="0">
                  <c:v>Prosentvis andel av anskaffelser som har stilt krav</c:v>
                </c:pt>
              </c:strCache>
            </c:strRef>
          </c:tx>
          <c:spPr>
            <a:solidFill>
              <a:srgbClr val="012A4C"/>
            </a:solidFill>
            <a:ln>
              <a:noFill/>
            </a:ln>
            <a:effectLst/>
          </c:spPr>
          <c:invertIfNegative val="0"/>
          <c:cat>
            <c:strRef>
              <c:extLst>
                <c:ext xmlns:c15="http://schemas.microsoft.com/office/drawing/2012/chart" uri="{02D57815-91ED-43cb-92C2-25804820EDAC}">
                  <c15:fullRef>
                    <c15:sqref>'Utregning av grafer'!$F$222:$R$222</c15:sqref>
                  </c15:fullRef>
                </c:ext>
              </c:extLst>
              <c:f>'Utregning av grafer'!$F$222:$Q$222</c:f>
              <c:strCache>
                <c:ptCount val="12"/>
                <c:pt idx="0">
                  <c:v>Flammehemmere</c:v>
                </c:pt>
                <c:pt idx="1">
                  <c:v>Produkt-forskriften</c:v>
                </c:pt>
                <c:pt idx="2">
                  <c:v>Krom (både 3/III og 6/IV)</c:v>
                </c:pt>
                <c:pt idx="3">
                  <c:v>REACH (prioritetslisten, kandidatlisten)</c:v>
                </c:pt>
                <c:pt idx="4">
                  <c:v>PVC</c:v>
                </c:pt>
                <c:pt idx="5">
                  <c:v>CLP-forordningen </c:v>
                </c:pt>
                <c:pt idx="6">
                  <c:v>Formaldehyd</c:v>
                </c:pt>
                <c:pt idx="7">
                  <c:v>Bly</c:v>
                </c:pt>
                <c:pt idx="8">
                  <c:v>Kvikksølv</c:v>
                </c:pt>
                <c:pt idx="9">
                  <c:v>Kadmium</c:v>
                </c:pt>
                <c:pt idx="10">
                  <c:v>VOC</c:v>
                </c:pt>
                <c:pt idx="11">
                  <c:v>Tungmetaller</c:v>
                </c:pt>
              </c:strCache>
            </c:strRef>
          </c:cat>
          <c:val>
            <c:numRef>
              <c:extLst>
                <c:ext xmlns:c15="http://schemas.microsoft.com/office/drawing/2012/chart" uri="{02D57815-91ED-43cb-92C2-25804820EDAC}">
                  <c15:fullRef>
                    <c15:sqref>'Utregning av grafer'!$F$223:$R$223</c15:sqref>
                  </c15:fullRef>
                </c:ext>
              </c:extLst>
              <c:f>'Utregning av grafer'!$F$223:$Q$223</c:f>
              <c:numCache>
                <c:formatCode>0%</c:formatCode>
                <c:ptCount val="12"/>
                <c:pt idx="0">
                  <c:v>0.60377358490566035</c:v>
                </c:pt>
                <c:pt idx="1">
                  <c:v>0.52830188679245282</c:v>
                </c:pt>
                <c:pt idx="2">
                  <c:v>0.49056603773584906</c:v>
                </c:pt>
                <c:pt idx="3">
                  <c:v>0.41509433962264153</c:v>
                </c:pt>
                <c:pt idx="4">
                  <c:v>0.35849056603773582</c:v>
                </c:pt>
                <c:pt idx="5">
                  <c:v>0.30188679245283018</c:v>
                </c:pt>
                <c:pt idx="6">
                  <c:v>0.2830188679433962</c:v>
                </c:pt>
                <c:pt idx="7">
                  <c:v>0.28301886792452829</c:v>
                </c:pt>
                <c:pt idx="8">
                  <c:v>0.24528302075471697</c:v>
                </c:pt>
                <c:pt idx="9">
                  <c:v>0.24528301886792453</c:v>
                </c:pt>
                <c:pt idx="10">
                  <c:v>0.22641509433962265</c:v>
                </c:pt>
                <c:pt idx="11">
                  <c:v>1.8867924528301886E-2</c:v>
                </c:pt>
              </c:numCache>
            </c:numRef>
          </c:val>
          <c:extLst>
            <c:ext xmlns:c16="http://schemas.microsoft.com/office/drawing/2014/chart" uri="{C3380CC4-5D6E-409C-BE32-E72D297353CC}">
              <c16:uniqueId val="{00000000-27AF-4B4A-BE9A-CC8D24830850}"/>
            </c:ext>
          </c:extLst>
        </c:ser>
        <c:dLbls>
          <c:showLegendKey val="0"/>
          <c:showVal val="0"/>
          <c:showCatName val="0"/>
          <c:showSerName val="0"/>
          <c:showPercent val="0"/>
          <c:showBubbleSize val="0"/>
        </c:dLbls>
        <c:gapWidth val="219"/>
        <c:axId val="344014608"/>
        <c:axId val="344014936"/>
      </c:barChart>
      <c:catAx>
        <c:axId val="344014608"/>
        <c:scaling>
          <c:orientation val="minMax"/>
        </c:scaling>
        <c:delete val="0"/>
        <c:axPos val="l"/>
        <c:numFmt formatCode="General" sourceLinked="1"/>
        <c:majorTickMark val="out"/>
        <c:minorTickMark val="none"/>
        <c:tickLblPos val="nextTo"/>
        <c:spPr>
          <a:noFill/>
          <a:ln w="9525" cap="flat" cmpd="thickThin" algn="ctr">
            <a:solidFill>
              <a:schemeClr val="tx1">
                <a:lumMod val="15000"/>
                <a:lumOff val="85000"/>
              </a:schemeClr>
            </a:solidFill>
            <a:round/>
          </a:ln>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344014936"/>
        <c:crosses val="autoZero"/>
        <c:auto val="1"/>
        <c:lblAlgn val="ctr"/>
        <c:lblOffset val="100"/>
        <c:noMultiLvlLbl val="0"/>
      </c:catAx>
      <c:valAx>
        <c:axId val="344014936"/>
        <c:scaling>
          <c:orientation val="minMax"/>
          <c:max val="1"/>
        </c:scaling>
        <c:delete val="0"/>
        <c:axPos val="b"/>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spPr>
          <a:noFill/>
          <a:ln>
            <a:noFill/>
          </a:ln>
          <a:effectLst/>
        </c:spPr>
        <c:txPr>
          <a:bodyPr rot="-60000000" spcFirstLastPara="1" vertOverflow="ellipsis" vert="horz" wrap="square" anchor="b"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344014608"/>
        <c:crosses val="autoZero"/>
        <c:crossBetween val="between"/>
        <c:majorUnit val="0.2"/>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1"/>
          <c:order val="1"/>
          <c:tx>
            <c:strRef>
              <c:f>'Utregning av grafer'!$A$230</c:f>
              <c:strCache>
                <c:ptCount val="1"/>
                <c:pt idx="0">
                  <c:v>Andel</c:v>
                </c:pt>
              </c:strCache>
            </c:strRef>
          </c:tx>
          <c:dPt>
            <c:idx val="0"/>
            <c:bubble3D val="0"/>
            <c:spPr>
              <a:solidFill>
                <a:srgbClr val="D1D1D1"/>
              </a:solidFill>
              <a:ln w="19050">
                <a:solidFill>
                  <a:schemeClr val="lt1"/>
                </a:solidFill>
              </a:ln>
              <a:effectLst/>
            </c:spPr>
            <c:extLst>
              <c:ext xmlns:c16="http://schemas.microsoft.com/office/drawing/2014/chart" uri="{C3380CC4-5D6E-409C-BE32-E72D297353CC}">
                <c16:uniqueId val="{00000001-3A2C-4184-B3F7-BDA24B3A853B}"/>
              </c:ext>
            </c:extLst>
          </c:dPt>
          <c:dPt>
            <c:idx val="1"/>
            <c:bubble3D val="0"/>
            <c:spPr>
              <a:solidFill>
                <a:srgbClr val="009FE3"/>
              </a:solidFill>
              <a:ln w="19050">
                <a:solidFill>
                  <a:schemeClr val="lt1"/>
                </a:solidFill>
              </a:ln>
              <a:effectLst/>
            </c:spPr>
            <c:extLst>
              <c:ext xmlns:c16="http://schemas.microsoft.com/office/drawing/2014/chart" uri="{C3380CC4-5D6E-409C-BE32-E72D297353CC}">
                <c16:uniqueId val="{00000003-3A2C-4184-B3F7-BDA24B3A853B}"/>
              </c:ext>
            </c:extLst>
          </c:dPt>
          <c:dPt>
            <c:idx val="2"/>
            <c:bubble3D val="0"/>
            <c:spPr>
              <a:solidFill>
                <a:srgbClr val="012A4C"/>
              </a:solidFill>
              <a:ln w="19050">
                <a:solidFill>
                  <a:schemeClr val="lt1"/>
                </a:solidFill>
              </a:ln>
              <a:effectLst/>
            </c:spPr>
            <c:extLst>
              <c:ext xmlns:c16="http://schemas.microsoft.com/office/drawing/2014/chart" uri="{C3380CC4-5D6E-409C-BE32-E72D297353CC}">
                <c16:uniqueId val="{00000005-3A2C-4184-B3F7-BDA24B3A853B}"/>
              </c:ext>
            </c:extLst>
          </c:dPt>
          <c:dLbls>
            <c:dLbl>
              <c:idx val="0"/>
              <c:delete val="1"/>
              <c:extLst>
                <c:ext xmlns:c15="http://schemas.microsoft.com/office/drawing/2012/chart" uri="{CE6537A1-D6FC-4f65-9D91-7224C49458BB}"/>
                <c:ext xmlns:c16="http://schemas.microsoft.com/office/drawing/2014/chart" uri="{C3380CC4-5D6E-409C-BE32-E72D297353CC}">
                  <c16:uniqueId val="{00000001-3A2C-4184-B3F7-BDA24B3A853B}"/>
                </c:ext>
              </c:extLst>
            </c:dLbl>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lumMod val="95000"/>
                      </a:schemeClr>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'Utregning av grafer'!$B$228:$E$228</c15:sqref>
                  </c15:fullRef>
                </c:ext>
              </c:extLst>
              <c:f>'Utregning av grafer'!$B$228:$D$228</c:f>
              <c:strCache>
                <c:ptCount val="3"/>
                <c:pt idx="0">
                  <c:v>Andel som ikke har den inkludert</c:v>
                </c:pt>
                <c:pt idx="1">
                  <c:v>Andel anskaffelser som har brukt en redigert versjon av Kriterieveiviserens kjemikalietabell</c:v>
                </c:pt>
                <c:pt idx="2">
                  <c:v>Andel anskaffelser som har brukt Kriterieveiviserens kjemikalietabell</c:v>
                </c:pt>
              </c:strCache>
            </c:strRef>
          </c:cat>
          <c:val>
            <c:numRef>
              <c:extLst>
                <c:ext xmlns:c15="http://schemas.microsoft.com/office/drawing/2012/chart" uri="{02D57815-91ED-43cb-92C2-25804820EDAC}">
                  <c15:fullRef>
                    <c15:sqref>'Utregning av grafer'!$B$230:$E$230</c15:sqref>
                  </c15:fullRef>
                </c:ext>
              </c:extLst>
              <c:f>'Utregning av grafer'!$B$230:$D$230</c:f>
              <c:numCache>
                <c:formatCode>0%</c:formatCode>
                <c:ptCount val="3"/>
                <c:pt idx="0">
                  <c:v>0.71698113207547165</c:v>
                </c:pt>
                <c:pt idx="1">
                  <c:v>3.7735849056603772E-2</c:v>
                </c:pt>
                <c:pt idx="2">
                  <c:v>0.24528301886792453</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6-3A2C-4184-B3F7-BDA24B3A853B}"/>
            </c:ext>
          </c:extLst>
        </c:ser>
        <c:dLbls>
          <c:showLegendKey val="0"/>
          <c:showVal val="1"/>
          <c:showCatName val="0"/>
          <c:showSerName val="0"/>
          <c:showPercent val="0"/>
          <c:showBubbleSize val="0"/>
          <c:showLeaderLines val="1"/>
        </c:dLbls>
        <c:firstSliceAng val="0"/>
        <c:holeSize val="50"/>
        <c:extLst>
          <c:ext xmlns:c15="http://schemas.microsoft.com/office/drawing/2012/chart" uri="{02D57815-91ED-43cb-92C2-25804820EDAC}">
            <c15:filteredPieSeries>
              <c15:ser>
                <c:idx val="0"/>
                <c:order val="0"/>
                <c:tx>
                  <c:strRef>
                    <c:extLst>
                      <c:ext uri="{02D57815-91ED-43cb-92C2-25804820EDAC}">
                        <c15:formulaRef>
                          <c15:sqref>'Utregning av grafer'!$A$229</c15:sqref>
                        </c15:formulaRef>
                      </c:ext>
                    </c:extLst>
                    <c:strCache>
                      <c:ptCount val="1"/>
                      <c:pt idx="0">
                        <c:v>Antall</c:v>
                      </c:pt>
                    </c:strCache>
                  </c:strRef>
                </c:tx>
                <c:spPr>
                  <a:solidFill>
                    <a:srgbClr val="012A4C"/>
                  </a:solidFill>
                </c:spPr>
                <c:dPt>
                  <c:idx val="0"/>
                  <c:bubble3D val="0"/>
                  <c:spPr>
                    <a:solidFill>
                      <a:srgbClr val="D1D1D1"/>
                    </a:solidFill>
                    <a:ln w="19050">
                      <a:solidFill>
                        <a:srgbClr val="D1D1D1"/>
                      </a:solidFill>
                    </a:ln>
                    <a:effectLst/>
                  </c:spPr>
                  <c:extLst>
                    <c:ext xmlns:c16="http://schemas.microsoft.com/office/drawing/2014/chart" uri="{C3380CC4-5D6E-409C-BE32-E72D297353CC}">
                      <c16:uniqueId val="{00000008-3A2C-4184-B3F7-BDA24B3A853B}"/>
                    </c:ext>
                  </c:extLst>
                </c:dPt>
                <c:dPt>
                  <c:idx val="1"/>
                  <c:bubble3D val="0"/>
                  <c:spPr>
                    <a:solidFill>
                      <a:srgbClr val="D1D1D1"/>
                    </a:solidFill>
                    <a:ln w="19050">
                      <a:solidFill>
                        <a:srgbClr val="D1D1D1"/>
                      </a:solidFill>
                    </a:ln>
                    <a:effectLst/>
                  </c:spPr>
                  <c:extLst>
                    <c:ext xmlns:c16="http://schemas.microsoft.com/office/drawing/2014/chart" uri="{C3380CC4-5D6E-409C-BE32-E72D297353CC}">
                      <c16:uniqueId val="{0000000A-3A2C-4184-B3F7-BDA24B3A853B}"/>
                    </c:ext>
                  </c:extLst>
                </c:dPt>
                <c:dPt>
                  <c:idx val="2"/>
                  <c:bubble3D val="0"/>
                  <c:spPr>
                    <a:solidFill>
                      <a:srgbClr val="009FE3"/>
                    </a:solidFill>
                    <a:ln w="19050">
                      <a:solidFill>
                        <a:schemeClr val="lt1"/>
                      </a:solidFill>
                    </a:ln>
                    <a:effectLst/>
                  </c:spPr>
                  <c:extLst>
                    <c:ext xmlns:c16="http://schemas.microsoft.com/office/drawing/2014/chart" uri="{C3380CC4-5D6E-409C-BE32-E72D297353CC}">
                      <c16:uniqueId val="{0000000C-3A2C-4184-B3F7-BDA24B3A853B}"/>
                    </c:ext>
                  </c:extLst>
                </c:dPt>
                <c:dPt>
                  <c:idx val="3"/>
                  <c:bubble3D val="0"/>
                  <c:spPr>
                    <a:solidFill>
                      <a:srgbClr val="012A4C"/>
                    </a:solidFill>
                    <a:ln w="19050">
                      <a:solidFill>
                        <a:schemeClr val="lt1"/>
                      </a:solidFill>
                    </a:ln>
                    <a:effectLst/>
                  </c:spPr>
                  <c:extLst>
                    <c:ext xmlns:c16="http://schemas.microsoft.com/office/drawing/2014/chart" uri="{C3380CC4-5D6E-409C-BE32-E72D297353CC}">
                      <c16:uniqueId val="{0000000E-3A2C-4184-B3F7-BDA24B3A853B}"/>
                    </c:ext>
                  </c:extLst>
                </c:dPt>
                <c:dLbls>
                  <c:dLbl>
                    <c:idx val="0"/>
                    <c:delete val="1"/>
                    <c:extLst>
                      <c:ext uri="{CE6537A1-D6FC-4f65-9D91-7224C49458BB}"/>
                      <c:ext xmlns:c16="http://schemas.microsoft.com/office/drawing/2014/chart" uri="{C3380CC4-5D6E-409C-BE32-E72D297353CC}">
                        <c16:uniqueId val="{00000008-3A2C-4184-B3F7-BDA24B3A853B}"/>
                      </c:ext>
                    </c:extLst>
                  </c:dLbl>
                  <c:dLbl>
                    <c:idx val="1"/>
                    <c:delete val="1"/>
                    <c:extLst>
                      <c:ext uri="{CE6537A1-D6FC-4f65-9D91-7224C49458BB}"/>
                      <c:ext xmlns:c16="http://schemas.microsoft.com/office/drawing/2014/chart" uri="{C3380CC4-5D6E-409C-BE32-E72D297353CC}">
                        <c16:uniqueId val="{0000000A-3A2C-4184-B3F7-BDA24B3A853B}"/>
                      </c:ext>
                    </c:extLst>
                  </c:dLbl>
                  <c:spPr>
                    <a:solidFill>
                      <a:schemeClr val="bg1">
                        <a:lumMod val="95000"/>
                      </a:schemeClr>
                    </a:solid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012A4C"/>
                          </a:solidFill>
                          <a:latin typeface="Source Sans Pro" panose="020B0503030403020204" pitchFamily="34" charset="0"/>
                          <a:ea typeface="Source Sans Pro" panose="020B0503030403020204" pitchFamily="34" charset="0"/>
                          <a:cs typeface="+mn-cs"/>
                        </a:defRPr>
                      </a:pPr>
                      <a:endParaRPr lang="nb-NO"/>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uri="{CE6537A1-D6FC-4f65-9D91-7224C49458BB}"/>
                  </c:extLst>
                </c:dLbls>
                <c:cat>
                  <c:strRef>
                    <c:extLst>
                      <c:ext uri="{02D57815-91ED-43cb-92C2-25804820EDAC}">
                        <c15:fullRef>
                          <c15:sqref>'Utregning av grafer'!$B$228:$E$228</c15:sqref>
                        </c15:fullRef>
                        <c15:formulaRef>
                          <c15:sqref>'Utregning av grafer'!$B$228:$D$228</c15:sqref>
                        </c15:formulaRef>
                      </c:ext>
                    </c:extLst>
                    <c:strCache>
                      <c:ptCount val="3"/>
                      <c:pt idx="0">
                        <c:v>Andel som ikke har den inkludert</c:v>
                      </c:pt>
                      <c:pt idx="1">
                        <c:v>Andel anskaffelser som har brukt en redigert versjon av Kriterieveiviserens kjemikalietabell</c:v>
                      </c:pt>
                      <c:pt idx="2">
                        <c:v>Andel anskaffelser som har brukt Kriterieveiviserens kjemikalietabell</c:v>
                      </c:pt>
                    </c:strCache>
                  </c:strRef>
                </c:cat>
                <c:val>
                  <c:numRef>
                    <c:extLst>
                      <c:ext uri="{02D57815-91ED-43cb-92C2-25804820EDAC}">
                        <c15:fullRef>
                          <c15:sqref>'Utregning av grafer'!$B$229:$E$229</c15:sqref>
                        </c15:fullRef>
                        <c15:formulaRef>
                          <c15:sqref>'Utregning av grafer'!$B$229:$D$229</c15:sqref>
                        </c15:formulaRef>
                      </c:ext>
                    </c:extLst>
                    <c:numCache>
                      <c:formatCode>0</c:formatCode>
                      <c:ptCount val="3"/>
                      <c:pt idx="0">
                        <c:v>38</c:v>
                      </c:pt>
                      <c:pt idx="1">
                        <c:v>2</c:v>
                      </c:pt>
                      <c:pt idx="2">
                        <c:v>13</c:v>
                      </c:pt>
                    </c:numCache>
                  </c:numRef>
                </c:val>
                <c:extLst>
                  <c:ext uri="{02D57815-91ED-43cb-92C2-25804820EDAC}">
                    <c15:categoryFilterExceptions>
                      <c15:categoryFilterException>
                        <c15:sqref>'Utregning av grafer'!$E$229</c15:sqref>
                        <c15:spPr xmlns:c15="http://schemas.microsoft.com/office/drawing/2012/chart">
                          <a:solidFill>
                            <a:srgbClr val="005B91"/>
                          </a:solidFill>
                          <a:ln w="19050">
                            <a:solidFill>
                              <a:schemeClr val="lt1"/>
                            </a:solidFill>
                          </a:ln>
                          <a:effectLst/>
                        </c15:spPr>
                        <c15:bubble3D val="0"/>
                      </c15:categoryFilterException>
                    </c15:categoryFilterExceptions>
                  </c:ext>
                  <c:ext xmlns:c16="http://schemas.microsoft.com/office/drawing/2014/chart" uri="{C3380CC4-5D6E-409C-BE32-E72D297353CC}">
                    <c16:uniqueId val="{0000000F-3A2C-4184-B3F7-BDA24B3A853B}"/>
                  </c:ext>
                </c:extLst>
              </c15:ser>
            </c15:filteredPieSeries>
          </c:ext>
        </c:extLst>
      </c:doughnutChart>
      <c:spPr>
        <a:noFill/>
        <a:ln>
          <a:noFill/>
        </a:ln>
        <a:effectLst/>
      </c:spPr>
    </c:plotArea>
    <c:legend>
      <c:legendPos val="l"/>
      <c:legendEntry>
        <c:idx val="0"/>
        <c:delete val="1"/>
      </c:legendEntry>
      <c:layout>
        <c:manualLayout>
          <c:xMode val="edge"/>
          <c:yMode val="edge"/>
          <c:x val="4.9315080651513792E-2"/>
          <c:y val="0.34227093932276442"/>
          <c:w val="0.30683336532249328"/>
          <c:h val="0.3093667517699745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legend>
    <c:plotVisOnly val="1"/>
    <c:dispBlanksAs val="gap"/>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012A4C"/>
            </a:solidFill>
          </c:spPr>
          <c:dPt>
            <c:idx val="0"/>
            <c:bubble3D val="0"/>
            <c:spPr>
              <a:solidFill>
                <a:srgbClr val="012A4C"/>
              </a:solidFill>
              <a:ln w="19050">
                <a:solidFill>
                  <a:schemeClr val="lt1"/>
                </a:solidFill>
              </a:ln>
              <a:effectLst/>
            </c:spPr>
            <c:extLst>
              <c:ext xmlns:c16="http://schemas.microsoft.com/office/drawing/2014/chart" uri="{C3380CC4-5D6E-409C-BE32-E72D297353CC}">
                <c16:uniqueId val="{00000001-D509-46BF-AED7-03ED48A5BE28}"/>
              </c:ext>
            </c:extLst>
          </c:dPt>
          <c:dPt>
            <c:idx val="1"/>
            <c:bubble3D val="0"/>
            <c:spPr>
              <a:solidFill>
                <a:srgbClr val="D1D1D1"/>
              </a:solidFill>
              <a:ln w="19050">
                <a:solidFill>
                  <a:schemeClr val="lt1"/>
                </a:solidFill>
              </a:ln>
              <a:effectLst/>
            </c:spPr>
            <c:extLst>
              <c:ext xmlns:c16="http://schemas.microsoft.com/office/drawing/2014/chart" uri="{C3380CC4-5D6E-409C-BE32-E72D297353CC}">
                <c16:uniqueId val="{00000003-D509-46BF-AED7-03ED48A5BE28}"/>
              </c:ext>
            </c:extLst>
          </c:dPt>
          <c:dLbls>
            <c:dLbl>
              <c:idx val="0"/>
              <c:layout>
                <c:manualLayout>
                  <c:x val="-0.18419391523789935"/>
                  <c:y val="7.9819443292735881E-2"/>
                </c:manualLayout>
              </c:layout>
              <c:spPr>
                <a:solidFill>
                  <a:srgbClr val="EFEFEF"/>
                </a:solidFill>
                <a:ln>
                  <a:solidFill>
                    <a:srgbClr val="EFEFEF"/>
                  </a:solidFill>
                </a:ln>
                <a:effectLst/>
              </c:spPr>
              <c:txPr>
                <a:bodyPr rot="0" spcFirstLastPara="1" vertOverflow="clip" horzOverflow="clip" vert="horz" wrap="square" lIns="38100" tIns="19050" rIns="38100" bIns="19050" anchor="ctr" anchorCtr="1">
                  <a:no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ellipse">
                      <a:avLst/>
                    </a:prstGeom>
                    <a:noFill/>
                    <a:ln>
                      <a:noFill/>
                    </a:ln>
                  </c15:spPr>
                  <c15:layout>
                    <c:manualLayout>
                      <c:w val="0.18335676518944771"/>
                      <c:h val="0.15917627515013452"/>
                    </c:manualLayout>
                  </c15:layout>
                </c:ext>
                <c:ext xmlns:c16="http://schemas.microsoft.com/office/drawing/2014/chart" uri="{C3380CC4-5D6E-409C-BE32-E72D297353CC}">
                  <c16:uniqueId val="{00000001-D509-46BF-AED7-03ED48A5BE28}"/>
                </c:ext>
              </c:extLst>
            </c:dLbl>
            <c:dLbl>
              <c:idx val="1"/>
              <c:delete val="1"/>
              <c:extLst>
                <c:ext xmlns:c15="http://schemas.microsoft.com/office/drawing/2012/chart" uri="{CE6537A1-D6FC-4f65-9D91-7224C49458BB}">
                  <c15:layout>
                    <c:manualLayout>
                      <c:w val="0.27826745945743964"/>
                      <c:h val="0.31296246542270384"/>
                    </c:manualLayout>
                  </c15:layout>
                </c:ext>
                <c:ext xmlns:c16="http://schemas.microsoft.com/office/drawing/2014/chart" uri="{C3380CC4-5D6E-409C-BE32-E72D297353CC}">
                  <c16:uniqueId val="{00000003-D509-46BF-AED7-03ED48A5BE28}"/>
                </c:ext>
              </c:extLst>
            </c:dLbl>
            <c:spPr>
              <a:solidFill>
                <a:srgbClr val="EFEFEF"/>
              </a:solidFill>
              <a:ln>
                <a:solidFill>
                  <a:srgbClr val="EFEFEF"/>
                </a:solidFill>
              </a:ln>
              <a:effectLst/>
            </c:spPr>
            <c:txPr>
              <a:bodyPr rot="0" spcFirstLastPara="1" vertOverflow="clip" horzOverflow="clip" vert="horz" wrap="square" lIns="38100" tIns="19050" rIns="38100" bIns="19050" anchor="ctr" anchorCtr="1">
                <a:sp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'Utregning av grafer'!$I$235:$J$235</c:f>
              <c:strCache>
                <c:ptCount val="2"/>
                <c:pt idx="0">
                  <c:v>Andel anskaffelser som har stilt krav til REACH, Kandidatlisten eller Prioritetslisten</c:v>
                </c:pt>
                <c:pt idx="1">
                  <c:v>Ikke brukt </c:v>
                </c:pt>
              </c:strCache>
            </c:strRef>
          </c:cat>
          <c:val>
            <c:numRef>
              <c:f>'Utregning av grafer'!$I$236:$J$236</c:f>
              <c:numCache>
                <c:formatCode>0%</c:formatCode>
                <c:ptCount val="2"/>
                <c:pt idx="0">
                  <c:v>0.41509433962264153</c:v>
                </c:pt>
                <c:pt idx="1">
                  <c:v>0.58490566037735847</c:v>
                </c:pt>
              </c:numCache>
            </c:numRef>
          </c:val>
          <c:extLst>
            <c:ext xmlns:c16="http://schemas.microsoft.com/office/drawing/2014/chart" uri="{C3380CC4-5D6E-409C-BE32-E72D297353CC}">
              <c16:uniqueId val="{00000004-D509-46BF-AED7-03ED48A5BE28}"/>
            </c:ext>
          </c:extLst>
        </c:ser>
        <c:dLbls>
          <c:showLegendKey val="0"/>
          <c:showVal val="0"/>
          <c:showCatName val="0"/>
          <c:showSerName val="0"/>
          <c:showPercent val="0"/>
          <c:showBubbleSize val="0"/>
          <c:showLeaderLines val="0"/>
        </c:dLbls>
        <c:firstSliceAng val="0"/>
        <c:holeSize val="50"/>
      </c:doughnutChart>
      <c:spPr>
        <a:noFill/>
        <a:ln>
          <a:noFill/>
        </a:ln>
        <a:effectLst/>
      </c:spPr>
    </c:plotArea>
    <c:legend>
      <c:legendPos val="l"/>
      <c:legendEntry>
        <c:idx val="1"/>
        <c:delete val="1"/>
      </c:legendEntry>
      <c:layout>
        <c:manualLayout>
          <c:xMode val="edge"/>
          <c:yMode val="edge"/>
          <c:x val="5.7327016476743806E-2"/>
          <c:y val="0.29087541917013648"/>
          <c:w val="0.27703290057408758"/>
          <c:h val="0.42746751847434872"/>
        </c:manualLayout>
      </c:layout>
      <c:overlay val="0"/>
      <c:spPr>
        <a:noFill/>
        <a:ln>
          <a:noFill/>
        </a:ln>
        <a:effectLst/>
      </c:spPr>
      <c:txPr>
        <a:bodyPr rot="0" spcFirstLastPara="1" vertOverflow="ellipsis" vert="horz" wrap="square" anchor="ctr" anchorCtr="1"/>
        <a:lstStyle/>
        <a:p>
          <a:pPr rtl="0">
            <a:defRPr sz="105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legend>
    <c:plotVisOnly val="1"/>
    <c:dispBlanksAs val="gap"/>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012A4C"/>
            </a:solidFill>
          </c:spPr>
          <c:dPt>
            <c:idx val="0"/>
            <c:bubble3D val="0"/>
            <c:spPr>
              <a:solidFill>
                <a:srgbClr val="012A4C"/>
              </a:solidFill>
              <a:ln w="19050">
                <a:solidFill>
                  <a:schemeClr val="lt1"/>
                </a:solidFill>
              </a:ln>
              <a:effectLst/>
            </c:spPr>
            <c:extLst>
              <c:ext xmlns:c16="http://schemas.microsoft.com/office/drawing/2014/chart" uri="{C3380CC4-5D6E-409C-BE32-E72D297353CC}">
                <c16:uniqueId val="{00000001-C997-4D93-B077-E2BA6B9F56EB}"/>
              </c:ext>
            </c:extLst>
          </c:dPt>
          <c:dPt>
            <c:idx val="1"/>
            <c:bubble3D val="0"/>
            <c:spPr>
              <a:solidFill>
                <a:srgbClr val="D1D1D1"/>
              </a:solidFill>
              <a:ln w="19050">
                <a:solidFill>
                  <a:schemeClr val="lt1"/>
                </a:solidFill>
              </a:ln>
              <a:effectLst/>
            </c:spPr>
            <c:extLst>
              <c:ext xmlns:c16="http://schemas.microsoft.com/office/drawing/2014/chart" uri="{C3380CC4-5D6E-409C-BE32-E72D297353CC}">
                <c16:uniqueId val="{00000003-C997-4D93-B077-E2BA6B9F56EB}"/>
              </c:ext>
            </c:extLst>
          </c:dPt>
          <c:dLbls>
            <c:dLbl>
              <c:idx val="0"/>
              <c:layout>
                <c:manualLayout>
                  <c:x val="-0.17869185196417162"/>
                  <c:y val="-1.5542025972533622E-2"/>
                </c:manualLayout>
              </c:layout>
              <c:spPr>
                <a:solidFill>
                  <a:srgbClr val="EFEFEF"/>
                </a:solidFill>
                <a:ln>
                  <a:solidFill>
                    <a:srgbClr val="EFEFEF"/>
                  </a:solidFill>
                </a:ln>
                <a:effectLst/>
              </c:spPr>
              <c:txPr>
                <a:bodyPr rot="0" spcFirstLastPara="1" vertOverflow="clip" horzOverflow="clip" vert="horz" wrap="square" lIns="38100" tIns="19050" rIns="38100" bIns="19050" anchor="ctr" anchorCtr="1">
                  <a:no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ellipse">
                      <a:avLst/>
                    </a:prstGeom>
                    <a:noFill/>
                    <a:ln>
                      <a:noFill/>
                    </a:ln>
                  </c15:spPr>
                  <c15:layout>
                    <c:manualLayout>
                      <c:w val="0.18335676518944771"/>
                      <c:h val="0.15917627515013452"/>
                    </c:manualLayout>
                  </c15:layout>
                </c:ext>
                <c:ext xmlns:c16="http://schemas.microsoft.com/office/drawing/2014/chart" uri="{C3380CC4-5D6E-409C-BE32-E72D297353CC}">
                  <c16:uniqueId val="{00000001-C997-4D93-B077-E2BA6B9F56EB}"/>
                </c:ext>
              </c:extLst>
            </c:dLbl>
            <c:dLbl>
              <c:idx val="1"/>
              <c:delete val="1"/>
              <c:extLst>
                <c:ext xmlns:c15="http://schemas.microsoft.com/office/drawing/2012/chart" uri="{CE6537A1-D6FC-4f65-9D91-7224C49458BB}">
                  <c15:layout>
                    <c:manualLayout>
                      <c:w val="0.27826745945743964"/>
                      <c:h val="0.31296246542270384"/>
                    </c:manualLayout>
                  </c15:layout>
                </c:ext>
                <c:ext xmlns:c16="http://schemas.microsoft.com/office/drawing/2014/chart" uri="{C3380CC4-5D6E-409C-BE32-E72D297353CC}">
                  <c16:uniqueId val="{00000003-C997-4D93-B077-E2BA6B9F56EB}"/>
                </c:ext>
              </c:extLst>
            </c:dLbl>
            <c:spPr>
              <a:solidFill>
                <a:srgbClr val="EFEFEF"/>
              </a:solidFill>
              <a:ln>
                <a:solidFill>
                  <a:srgbClr val="EFEFEF"/>
                </a:solidFill>
              </a:ln>
              <a:effectLst/>
            </c:spPr>
            <c:txPr>
              <a:bodyPr rot="0" spcFirstLastPara="1" vertOverflow="clip" horzOverflow="clip" vert="horz" wrap="square" lIns="38100" tIns="19050" rIns="38100" bIns="19050" anchor="ctr" anchorCtr="1">
                <a:sp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'Utregning av grafer'!$I$243:$J$243</c:f>
              <c:strCache>
                <c:ptCount val="2"/>
                <c:pt idx="0">
                  <c:v>Andel anskaffelser som har stilt krav til Produktforskriften</c:v>
                </c:pt>
                <c:pt idx="1">
                  <c:v>Ikke brukt </c:v>
                </c:pt>
              </c:strCache>
            </c:strRef>
          </c:cat>
          <c:val>
            <c:numRef>
              <c:f>'Utregning av grafer'!$I$244:$J$244</c:f>
              <c:numCache>
                <c:formatCode>0%</c:formatCode>
                <c:ptCount val="2"/>
                <c:pt idx="0">
                  <c:v>0.52830188679245282</c:v>
                </c:pt>
                <c:pt idx="1">
                  <c:v>0.47169811320754718</c:v>
                </c:pt>
              </c:numCache>
            </c:numRef>
          </c:val>
          <c:extLst>
            <c:ext xmlns:c16="http://schemas.microsoft.com/office/drawing/2014/chart" uri="{C3380CC4-5D6E-409C-BE32-E72D297353CC}">
              <c16:uniqueId val="{00000004-C997-4D93-B077-E2BA6B9F56EB}"/>
            </c:ext>
          </c:extLst>
        </c:ser>
        <c:dLbls>
          <c:showLegendKey val="0"/>
          <c:showVal val="0"/>
          <c:showCatName val="0"/>
          <c:showSerName val="0"/>
          <c:showPercent val="0"/>
          <c:showBubbleSize val="0"/>
          <c:showLeaderLines val="0"/>
        </c:dLbls>
        <c:firstSliceAng val="0"/>
        <c:holeSize val="50"/>
      </c:doughnutChart>
      <c:spPr>
        <a:noFill/>
        <a:ln>
          <a:noFill/>
        </a:ln>
        <a:effectLst/>
      </c:spPr>
    </c:plotArea>
    <c:legend>
      <c:legendPos val="l"/>
      <c:legendEntry>
        <c:idx val="1"/>
        <c:delete val="1"/>
      </c:legendEntry>
      <c:layout>
        <c:manualLayout>
          <c:xMode val="edge"/>
          <c:yMode val="edge"/>
          <c:x val="5.7327016476743806E-2"/>
          <c:y val="0.29087541917013648"/>
          <c:w val="0.27703290057408758"/>
          <c:h val="0.42746751847434872"/>
        </c:manualLayout>
      </c:layout>
      <c:overlay val="0"/>
      <c:spPr>
        <a:noFill/>
        <a:ln>
          <a:noFill/>
        </a:ln>
        <a:effectLst/>
      </c:spPr>
      <c:txPr>
        <a:bodyPr rot="0" spcFirstLastPara="1" vertOverflow="ellipsis" vert="horz" wrap="square" anchor="ctr" anchorCtr="1"/>
        <a:lstStyle/>
        <a:p>
          <a:pPr rtl="0">
            <a:defRPr sz="105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legend>
    <c:plotVisOnly val="1"/>
    <c:dispBlanksAs val="gap"/>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012A4C"/>
            </a:solidFill>
          </c:spPr>
          <c:dPt>
            <c:idx val="0"/>
            <c:bubble3D val="0"/>
            <c:spPr>
              <a:solidFill>
                <a:srgbClr val="012A4C"/>
              </a:solidFill>
              <a:ln w="19050">
                <a:solidFill>
                  <a:schemeClr val="lt1"/>
                </a:solidFill>
              </a:ln>
              <a:effectLst/>
            </c:spPr>
            <c:extLst>
              <c:ext xmlns:c16="http://schemas.microsoft.com/office/drawing/2014/chart" uri="{C3380CC4-5D6E-409C-BE32-E72D297353CC}">
                <c16:uniqueId val="{00000001-0318-42D4-BE73-2FCAAA3FDB8D}"/>
              </c:ext>
            </c:extLst>
          </c:dPt>
          <c:dPt>
            <c:idx val="1"/>
            <c:bubble3D val="0"/>
            <c:spPr>
              <a:solidFill>
                <a:srgbClr val="D1D1D1"/>
              </a:solidFill>
              <a:ln w="19050">
                <a:solidFill>
                  <a:schemeClr val="lt1"/>
                </a:solidFill>
              </a:ln>
              <a:effectLst/>
            </c:spPr>
            <c:extLst>
              <c:ext xmlns:c16="http://schemas.microsoft.com/office/drawing/2014/chart" uri="{C3380CC4-5D6E-409C-BE32-E72D297353CC}">
                <c16:uniqueId val="{00000003-0318-42D4-BE73-2FCAAA3FDB8D}"/>
              </c:ext>
            </c:extLst>
          </c:dPt>
          <c:dLbls>
            <c:dLbl>
              <c:idx val="0"/>
              <c:layout>
                <c:manualLayout>
                  <c:x val="-0.15118153559553335"/>
                  <c:y val="0.1585963092075236"/>
                </c:manualLayout>
              </c:layout>
              <c:spPr>
                <a:solidFill>
                  <a:srgbClr val="EFEFEF"/>
                </a:solidFill>
                <a:ln>
                  <a:solidFill>
                    <a:srgbClr val="EFEFEF"/>
                  </a:solidFill>
                </a:ln>
                <a:effectLst/>
              </c:spPr>
              <c:txPr>
                <a:bodyPr rot="0" spcFirstLastPara="1" vertOverflow="clip" horzOverflow="clip" vert="horz" wrap="square" lIns="38100" tIns="19050" rIns="38100" bIns="19050" anchor="ctr" anchorCtr="1">
                  <a:no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ellipse">
                      <a:avLst/>
                    </a:prstGeom>
                    <a:noFill/>
                    <a:ln>
                      <a:noFill/>
                    </a:ln>
                  </c15:spPr>
                  <c15:layout>
                    <c:manualLayout>
                      <c:w val="0.18335676518944771"/>
                      <c:h val="0.15917627515013452"/>
                    </c:manualLayout>
                  </c15:layout>
                </c:ext>
                <c:ext xmlns:c16="http://schemas.microsoft.com/office/drawing/2014/chart" uri="{C3380CC4-5D6E-409C-BE32-E72D297353CC}">
                  <c16:uniqueId val="{00000001-0318-42D4-BE73-2FCAAA3FDB8D}"/>
                </c:ext>
              </c:extLst>
            </c:dLbl>
            <c:dLbl>
              <c:idx val="1"/>
              <c:delete val="1"/>
              <c:extLst>
                <c:ext xmlns:c15="http://schemas.microsoft.com/office/drawing/2012/chart" uri="{CE6537A1-D6FC-4f65-9D91-7224C49458BB}">
                  <c15:layout>
                    <c:manualLayout>
                      <c:w val="0.27826745945743964"/>
                      <c:h val="0.31296246542270384"/>
                    </c:manualLayout>
                  </c15:layout>
                </c:ext>
                <c:ext xmlns:c16="http://schemas.microsoft.com/office/drawing/2014/chart" uri="{C3380CC4-5D6E-409C-BE32-E72D297353CC}">
                  <c16:uniqueId val="{00000003-0318-42D4-BE73-2FCAAA3FDB8D}"/>
                </c:ext>
              </c:extLst>
            </c:dLbl>
            <c:spPr>
              <a:solidFill>
                <a:srgbClr val="EFEFEF"/>
              </a:solidFill>
              <a:ln>
                <a:solidFill>
                  <a:srgbClr val="EFEFEF"/>
                </a:solidFill>
              </a:ln>
              <a:effectLst/>
            </c:spPr>
            <c:txPr>
              <a:bodyPr rot="0" spcFirstLastPara="1" vertOverflow="clip" horzOverflow="clip" vert="horz" wrap="square" lIns="38100" tIns="19050" rIns="38100" bIns="19050" anchor="ctr" anchorCtr="1">
                <a:sp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'Utregning av grafer'!$I$251:$J$251</c:f>
              <c:strCache>
                <c:ptCount val="2"/>
                <c:pt idx="0">
                  <c:v>Andel anskaffelser som har stilt krav til CLP-forordningen</c:v>
                </c:pt>
                <c:pt idx="1">
                  <c:v>Ikke brukt </c:v>
                </c:pt>
              </c:strCache>
            </c:strRef>
          </c:cat>
          <c:val>
            <c:numRef>
              <c:f>'Utregning av grafer'!$I$252:$J$252</c:f>
              <c:numCache>
                <c:formatCode>0%</c:formatCode>
                <c:ptCount val="2"/>
                <c:pt idx="0">
                  <c:v>0.30188679245283018</c:v>
                </c:pt>
                <c:pt idx="1">
                  <c:v>0.69811320754716988</c:v>
                </c:pt>
              </c:numCache>
            </c:numRef>
          </c:val>
          <c:extLst>
            <c:ext xmlns:c16="http://schemas.microsoft.com/office/drawing/2014/chart" uri="{C3380CC4-5D6E-409C-BE32-E72D297353CC}">
              <c16:uniqueId val="{00000004-0318-42D4-BE73-2FCAAA3FDB8D}"/>
            </c:ext>
          </c:extLst>
        </c:ser>
        <c:dLbls>
          <c:showLegendKey val="0"/>
          <c:showVal val="0"/>
          <c:showCatName val="0"/>
          <c:showSerName val="0"/>
          <c:showPercent val="0"/>
          <c:showBubbleSize val="0"/>
          <c:showLeaderLines val="0"/>
        </c:dLbls>
        <c:firstSliceAng val="0"/>
        <c:holeSize val="50"/>
      </c:doughnutChart>
      <c:spPr>
        <a:noFill/>
        <a:ln>
          <a:noFill/>
        </a:ln>
        <a:effectLst/>
      </c:spPr>
    </c:plotArea>
    <c:legend>
      <c:legendPos val="l"/>
      <c:legendEntry>
        <c:idx val="1"/>
        <c:delete val="1"/>
      </c:legendEntry>
      <c:layout>
        <c:manualLayout>
          <c:xMode val="edge"/>
          <c:yMode val="edge"/>
          <c:x val="5.7327016476743806E-2"/>
          <c:y val="0.29087541917013648"/>
          <c:w val="0.27703290057408758"/>
          <c:h val="0.42746751847434872"/>
        </c:manualLayout>
      </c:layout>
      <c:overlay val="0"/>
      <c:spPr>
        <a:noFill/>
        <a:ln>
          <a:noFill/>
        </a:ln>
        <a:effectLst/>
      </c:spPr>
      <c:txPr>
        <a:bodyPr rot="0" spcFirstLastPara="1" vertOverflow="ellipsis" vert="horz" wrap="square" anchor="ctr" anchorCtr="1"/>
        <a:lstStyle/>
        <a:p>
          <a:pPr rtl="0">
            <a:defRPr sz="105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legend>
    <c:plotVisOnly val="1"/>
    <c:dispBlanksAs val="gap"/>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012A4C"/>
            </a:solidFill>
          </c:spPr>
          <c:dPt>
            <c:idx val="0"/>
            <c:bubble3D val="0"/>
            <c:spPr>
              <a:solidFill>
                <a:srgbClr val="012A4C"/>
              </a:solidFill>
              <a:ln w="19050">
                <a:solidFill>
                  <a:schemeClr val="lt1"/>
                </a:solidFill>
              </a:ln>
              <a:effectLst/>
            </c:spPr>
            <c:extLst>
              <c:ext xmlns:c16="http://schemas.microsoft.com/office/drawing/2014/chart" uri="{C3380CC4-5D6E-409C-BE32-E72D297353CC}">
                <c16:uniqueId val="{00000001-4645-4A54-9AF5-3D4AB2BE376D}"/>
              </c:ext>
            </c:extLst>
          </c:dPt>
          <c:dPt>
            <c:idx val="1"/>
            <c:bubble3D val="0"/>
            <c:spPr>
              <a:solidFill>
                <a:srgbClr val="D1D1D1"/>
              </a:solidFill>
              <a:ln w="19050">
                <a:solidFill>
                  <a:schemeClr val="lt1"/>
                </a:solidFill>
              </a:ln>
              <a:effectLst/>
            </c:spPr>
            <c:extLst>
              <c:ext xmlns:c16="http://schemas.microsoft.com/office/drawing/2014/chart" uri="{C3380CC4-5D6E-409C-BE32-E72D297353CC}">
                <c16:uniqueId val="{00000003-4645-4A54-9AF5-3D4AB2BE376D}"/>
              </c:ext>
            </c:extLst>
          </c:dPt>
          <c:dLbls>
            <c:dLbl>
              <c:idx val="0"/>
              <c:layout>
                <c:manualLayout>
                  <c:x val="-0.12367121922689522"/>
                  <c:y val="0.22908087344707062"/>
                </c:manualLayout>
              </c:layout>
              <c:spPr>
                <a:solidFill>
                  <a:srgbClr val="EFEFEF"/>
                </a:solidFill>
                <a:ln>
                  <a:solidFill>
                    <a:srgbClr val="EFEFEF"/>
                  </a:solidFill>
                </a:ln>
                <a:effectLst/>
              </c:spPr>
              <c:txPr>
                <a:bodyPr rot="0" spcFirstLastPara="1" vertOverflow="clip" horzOverflow="clip" vert="horz" wrap="square" lIns="38100" tIns="19050" rIns="38100" bIns="19050" anchor="ctr" anchorCtr="1">
                  <a:no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ellipse">
                      <a:avLst/>
                    </a:prstGeom>
                    <a:noFill/>
                    <a:ln>
                      <a:noFill/>
                    </a:ln>
                  </c15:spPr>
                  <c15:layout>
                    <c:manualLayout>
                      <c:w val="0.18335676518944771"/>
                      <c:h val="0.15917627515013452"/>
                    </c:manualLayout>
                  </c15:layout>
                </c:ext>
                <c:ext xmlns:c16="http://schemas.microsoft.com/office/drawing/2014/chart" uri="{C3380CC4-5D6E-409C-BE32-E72D297353CC}">
                  <c16:uniqueId val="{00000001-4645-4A54-9AF5-3D4AB2BE376D}"/>
                </c:ext>
              </c:extLst>
            </c:dLbl>
            <c:dLbl>
              <c:idx val="1"/>
              <c:delete val="1"/>
              <c:extLst>
                <c:ext xmlns:c15="http://schemas.microsoft.com/office/drawing/2012/chart" uri="{CE6537A1-D6FC-4f65-9D91-7224C49458BB}">
                  <c15:layout>
                    <c:manualLayout>
                      <c:w val="0.27826745945743964"/>
                      <c:h val="0.31296246542270384"/>
                    </c:manualLayout>
                  </c15:layout>
                </c:ext>
                <c:ext xmlns:c16="http://schemas.microsoft.com/office/drawing/2014/chart" uri="{C3380CC4-5D6E-409C-BE32-E72D297353CC}">
                  <c16:uniqueId val="{00000003-4645-4A54-9AF5-3D4AB2BE376D}"/>
                </c:ext>
              </c:extLst>
            </c:dLbl>
            <c:spPr>
              <a:solidFill>
                <a:srgbClr val="EFEFEF"/>
              </a:solidFill>
              <a:ln>
                <a:solidFill>
                  <a:srgbClr val="EFEFEF"/>
                </a:solidFill>
              </a:ln>
              <a:effectLst/>
            </c:spPr>
            <c:txPr>
              <a:bodyPr rot="0" spcFirstLastPara="1" vertOverflow="clip" horzOverflow="clip" vert="horz" wrap="square" lIns="38100" tIns="19050" rIns="38100" bIns="19050" anchor="ctr" anchorCtr="1">
                <a:sp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'Utregning av grafer'!$I$259:$J$259</c:f>
              <c:strCache>
                <c:ptCount val="2"/>
                <c:pt idx="0">
                  <c:v>Andel anskaffelser som har stilt krav til VOC</c:v>
                </c:pt>
                <c:pt idx="1">
                  <c:v>Ikke brukt </c:v>
                </c:pt>
              </c:strCache>
            </c:strRef>
          </c:cat>
          <c:val>
            <c:numRef>
              <c:f>'Utregning av grafer'!$I$260:$J$260</c:f>
              <c:numCache>
                <c:formatCode>0%</c:formatCode>
                <c:ptCount val="2"/>
                <c:pt idx="0">
                  <c:v>0.22641509433962265</c:v>
                </c:pt>
                <c:pt idx="1">
                  <c:v>0.77358490566037741</c:v>
                </c:pt>
              </c:numCache>
            </c:numRef>
          </c:val>
          <c:extLst>
            <c:ext xmlns:c16="http://schemas.microsoft.com/office/drawing/2014/chart" uri="{C3380CC4-5D6E-409C-BE32-E72D297353CC}">
              <c16:uniqueId val="{00000004-4645-4A54-9AF5-3D4AB2BE376D}"/>
            </c:ext>
          </c:extLst>
        </c:ser>
        <c:dLbls>
          <c:showLegendKey val="0"/>
          <c:showVal val="0"/>
          <c:showCatName val="0"/>
          <c:showSerName val="0"/>
          <c:showPercent val="0"/>
          <c:showBubbleSize val="0"/>
          <c:showLeaderLines val="0"/>
        </c:dLbls>
        <c:firstSliceAng val="0"/>
        <c:holeSize val="50"/>
      </c:doughnutChart>
      <c:spPr>
        <a:noFill/>
        <a:ln>
          <a:noFill/>
        </a:ln>
        <a:effectLst/>
      </c:spPr>
    </c:plotArea>
    <c:legend>
      <c:legendPos val="l"/>
      <c:legendEntry>
        <c:idx val="1"/>
        <c:delete val="1"/>
      </c:legendEntry>
      <c:layout>
        <c:manualLayout>
          <c:xMode val="edge"/>
          <c:yMode val="edge"/>
          <c:x val="5.7327016476743806E-2"/>
          <c:y val="0.29087541917013648"/>
          <c:w val="0.27703290057408758"/>
          <c:h val="0.42746751847434872"/>
        </c:manualLayout>
      </c:layout>
      <c:overlay val="0"/>
      <c:spPr>
        <a:noFill/>
        <a:ln>
          <a:noFill/>
        </a:ln>
        <a:effectLst/>
      </c:spPr>
      <c:txPr>
        <a:bodyPr rot="0" spcFirstLastPara="1" vertOverflow="ellipsis" vert="horz" wrap="square" anchor="ctr" anchorCtr="1"/>
        <a:lstStyle/>
        <a:p>
          <a:pPr rtl="0">
            <a:defRPr sz="105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legend>
    <c:plotVisOnly val="1"/>
    <c:dispBlanksAs val="gap"/>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012A4C"/>
            </a:solidFill>
          </c:spPr>
          <c:dPt>
            <c:idx val="0"/>
            <c:bubble3D val="0"/>
            <c:spPr>
              <a:solidFill>
                <a:srgbClr val="012A4C"/>
              </a:solidFill>
              <a:ln w="19050">
                <a:solidFill>
                  <a:schemeClr val="lt1"/>
                </a:solidFill>
              </a:ln>
              <a:effectLst/>
            </c:spPr>
            <c:extLst>
              <c:ext xmlns:c16="http://schemas.microsoft.com/office/drawing/2014/chart" uri="{C3380CC4-5D6E-409C-BE32-E72D297353CC}">
                <c16:uniqueId val="{00000001-7534-439B-93A8-9FCF1703602E}"/>
              </c:ext>
            </c:extLst>
          </c:dPt>
          <c:dPt>
            <c:idx val="1"/>
            <c:bubble3D val="0"/>
            <c:spPr>
              <a:solidFill>
                <a:srgbClr val="D1D1D1"/>
              </a:solidFill>
              <a:ln w="19050">
                <a:solidFill>
                  <a:schemeClr val="lt1"/>
                </a:solidFill>
              </a:ln>
              <a:effectLst/>
            </c:spPr>
            <c:extLst>
              <c:ext xmlns:c16="http://schemas.microsoft.com/office/drawing/2014/chart" uri="{C3380CC4-5D6E-409C-BE32-E72D297353CC}">
                <c16:uniqueId val="{00000003-7534-439B-93A8-9FCF1703602E}"/>
              </c:ext>
            </c:extLst>
          </c:dPt>
          <c:dLbls>
            <c:dLbl>
              <c:idx val="0"/>
              <c:layout>
                <c:manualLayout>
                  <c:x val="-0.14567947232180581"/>
                  <c:y val="0.19176551590848695"/>
                </c:manualLayout>
              </c:layout>
              <c:spPr>
                <a:solidFill>
                  <a:srgbClr val="EFEFEF"/>
                </a:solidFill>
                <a:ln>
                  <a:solidFill>
                    <a:srgbClr val="EFEFEF"/>
                  </a:solidFill>
                </a:ln>
                <a:effectLst/>
              </c:spPr>
              <c:txPr>
                <a:bodyPr rot="0" spcFirstLastPara="1" vertOverflow="clip" horzOverflow="clip" vert="horz" wrap="square" lIns="38100" tIns="19050" rIns="38100" bIns="19050" anchor="ctr" anchorCtr="1">
                  <a:no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ellipse">
                      <a:avLst/>
                    </a:prstGeom>
                    <a:noFill/>
                    <a:ln>
                      <a:noFill/>
                    </a:ln>
                  </c15:spPr>
                  <c15:layout>
                    <c:manualLayout>
                      <c:w val="0.18335676518944771"/>
                      <c:h val="0.15917627515013452"/>
                    </c:manualLayout>
                  </c15:layout>
                </c:ext>
                <c:ext xmlns:c16="http://schemas.microsoft.com/office/drawing/2014/chart" uri="{C3380CC4-5D6E-409C-BE32-E72D297353CC}">
                  <c16:uniqueId val="{00000001-7534-439B-93A8-9FCF1703602E}"/>
                </c:ext>
              </c:extLst>
            </c:dLbl>
            <c:dLbl>
              <c:idx val="1"/>
              <c:delete val="1"/>
              <c:extLst>
                <c:ext xmlns:c15="http://schemas.microsoft.com/office/drawing/2012/chart" uri="{CE6537A1-D6FC-4f65-9D91-7224C49458BB}">
                  <c15:layout>
                    <c:manualLayout>
                      <c:w val="0.27826745945743964"/>
                      <c:h val="0.31296246542270384"/>
                    </c:manualLayout>
                  </c15:layout>
                </c:ext>
                <c:ext xmlns:c16="http://schemas.microsoft.com/office/drawing/2014/chart" uri="{C3380CC4-5D6E-409C-BE32-E72D297353CC}">
                  <c16:uniqueId val="{00000003-7534-439B-93A8-9FCF1703602E}"/>
                </c:ext>
              </c:extLst>
            </c:dLbl>
            <c:spPr>
              <a:solidFill>
                <a:srgbClr val="EFEFEF"/>
              </a:solidFill>
              <a:ln>
                <a:solidFill>
                  <a:srgbClr val="EFEFEF"/>
                </a:solidFill>
              </a:ln>
              <a:effectLst/>
            </c:spPr>
            <c:txPr>
              <a:bodyPr rot="0" spcFirstLastPara="1" vertOverflow="clip" horzOverflow="clip" vert="horz" wrap="square" lIns="38100" tIns="19050" rIns="38100" bIns="19050" anchor="ctr" anchorCtr="1">
                <a:sp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'Utregning av grafer'!$I$267:$J$267</c:f>
              <c:strCache>
                <c:ptCount val="2"/>
                <c:pt idx="0">
                  <c:v>Andel anskaffelser som har stilt krav til Formaldehyd</c:v>
                </c:pt>
                <c:pt idx="1">
                  <c:v>Ikke brukt </c:v>
                </c:pt>
              </c:strCache>
            </c:strRef>
          </c:cat>
          <c:val>
            <c:numRef>
              <c:f>'Utregning av grafer'!$I$268:$J$268</c:f>
              <c:numCache>
                <c:formatCode>0%</c:formatCode>
                <c:ptCount val="2"/>
                <c:pt idx="0">
                  <c:v>0.28301886792452829</c:v>
                </c:pt>
                <c:pt idx="1">
                  <c:v>0.71698113207547176</c:v>
                </c:pt>
              </c:numCache>
            </c:numRef>
          </c:val>
          <c:extLst>
            <c:ext xmlns:c16="http://schemas.microsoft.com/office/drawing/2014/chart" uri="{C3380CC4-5D6E-409C-BE32-E72D297353CC}">
              <c16:uniqueId val="{00000004-7534-439B-93A8-9FCF1703602E}"/>
            </c:ext>
          </c:extLst>
        </c:ser>
        <c:dLbls>
          <c:showLegendKey val="0"/>
          <c:showVal val="0"/>
          <c:showCatName val="0"/>
          <c:showSerName val="0"/>
          <c:showPercent val="0"/>
          <c:showBubbleSize val="0"/>
          <c:showLeaderLines val="0"/>
        </c:dLbls>
        <c:firstSliceAng val="0"/>
        <c:holeSize val="50"/>
      </c:doughnutChart>
      <c:spPr>
        <a:noFill/>
        <a:ln>
          <a:noFill/>
        </a:ln>
        <a:effectLst/>
      </c:spPr>
    </c:plotArea>
    <c:legend>
      <c:legendPos val="l"/>
      <c:legendEntry>
        <c:idx val="1"/>
        <c:delete val="1"/>
      </c:legendEntry>
      <c:layout>
        <c:manualLayout>
          <c:xMode val="edge"/>
          <c:yMode val="edge"/>
          <c:x val="5.7327016476743806E-2"/>
          <c:y val="0.29087541917013648"/>
          <c:w val="0.27703290057408758"/>
          <c:h val="0.42746751847434872"/>
        </c:manualLayout>
      </c:layout>
      <c:overlay val="0"/>
      <c:spPr>
        <a:noFill/>
        <a:ln>
          <a:noFill/>
        </a:ln>
        <a:effectLst/>
      </c:spPr>
      <c:txPr>
        <a:bodyPr rot="0" spcFirstLastPara="1" vertOverflow="ellipsis" vert="horz" wrap="square" anchor="ctr" anchorCtr="1"/>
        <a:lstStyle/>
        <a:p>
          <a:pPr rtl="0">
            <a:defRPr sz="105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legend>
    <c:plotVisOnly val="1"/>
    <c:dispBlanksAs val="gap"/>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012A4C"/>
            </a:solidFill>
          </c:spPr>
          <c:dPt>
            <c:idx val="0"/>
            <c:bubble3D val="0"/>
            <c:spPr>
              <a:solidFill>
                <a:srgbClr val="012A4C"/>
              </a:solidFill>
              <a:ln w="19050">
                <a:solidFill>
                  <a:schemeClr val="lt1"/>
                </a:solidFill>
              </a:ln>
              <a:effectLst/>
            </c:spPr>
            <c:extLst>
              <c:ext xmlns:c16="http://schemas.microsoft.com/office/drawing/2014/chart" uri="{C3380CC4-5D6E-409C-BE32-E72D297353CC}">
                <c16:uniqueId val="{00000001-F408-49A0-B9A7-B15D5E6B0F7C}"/>
              </c:ext>
            </c:extLst>
          </c:dPt>
          <c:dPt>
            <c:idx val="1"/>
            <c:bubble3D val="0"/>
            <c:spPr>
              <a:solidFill>
                <a:srgbClr val="D1D1D1"/>
              </a:solidFill>
              <a:ln w="19050">
                <a:solidFill>
                  <a:schemeClr val="lt1"/>
                </a:solidFill>
              </a:ln>
              <a:effectLst/>
            </c:spPr>
            <c:extLst>
              <c:ext xmlns:c16="http://schemas.microsoft.com/office/drawing/2014/chart" uri="{C3380CC4-5D6E-409C-BE32-E72D297353CC}">
                <c16:uniqueId val="{00000003-F408-49A0-B9A7-B15D5E6B0F7C}"/>
              </c:ext>
            </c:extLst>
          </c:dPt>
          <c:dLbls>
            <c:dLbl>
              <c:idx val="0"/>
              <c:layout>
                <c:manualLayout>
                  <c:x val="-0.17043875705358014"/>
                  <c:y val="-8.6026590212080506E-2"/>
                </c:manualLayout>
              </c:layout>
              <c:spPr>
                <a:solidFill>
                  <a:srgbClr val="EFEFEF"/>
                </a:solidFill>
                <a:ln>
                  <a:solidFill>
                    <a:srgbClr val="EFEFEF"/>
                  </a:solidFill>
                </a:ln>
                <a:effectLst/>
              </c:spPr>
              <c:txPr>
                <a:bodyPr rot="0" spcFirstLastPara="1" vertOverflow="clip" horzOverflow="clip" vert="horz" wrap="square" lIns="38100" tIns="19050" rIns="38100" bIns="19050" anchor="ctr" anchorCtr="1">
                  <a:no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ellipse">
                      <a:avLst/>
                    </a:prstGeom>
                    <a:noFill/>
                    <a:ln>
                      <a:noFill/>
                    </a:ln>
                  </c15:spPr>
                  <c15:layout>
                    <c:manualLayout>
                      <c:w val="0.18335676518944771"/>
                      <c:h val="0.15917627515013452"/>
                    </c:manualLayout>
                  </c15:layout>
                </c:ext>
                <c:ext xmlns:c16="http://schemas.microsoft.com/office/drawing/2014/chart" uri="{C3380CC4-5D6E-409C-BE32-E72D297353CC}">
                  <c16:uniqueId val="{00000001-F408-49A0-B9A7-B15D5E6B0F7C}"/>
                </c:ext>
              </c:extLst>
            </c:dLbl>
            <c:dLbl>
              <c:idx val="1"/>
              <c:delete val="1"/>
              <c:extLst>
                <c:ext xmlns:c15="http://schemas.microsoft.com/office/drawing/2012/chart" uri="{CE6537A1-D6FC-4f65-9D91-7224C49458BB}">
                  <c15:layout>
                    <c:manualLayout>
                      <c:w val="0.27826745945743964"/>
                      <c:h val="0.31296246542270384"/>
                    </c:manualLayout>
                  </c15:layout>
                </c:ext>
                <c:ext xmlns:c16="http://schemas.microsoft.com/office/drawing/2014/chart" uri="{C3380CC4-5D6E-409C-BE32-E72D297353CC}">
                  <c16:uniqueId val="{00000003-F408-49A0-B9A7-B15D5E6B0F7C}"/>
                </c:ext>
              </c:extLst>
            </c:dLbl>
            <c:spPr>
              <a:solidFill>
                <a:srgbClr val="EFEFEF"/>
              </a:solidFill>
              <a:ln>
                <a:solidFill>
                  <a:srgbClr val="EFEFEF"/>
                </a:solidFill>
              </a:ln>
              <a:effectLst/>
            </c:spPr>
            <c:txPr>
              <a:bodyPr rot="0" spcFirstLastPara="1" vertOverflow="clip" horzOverflow="clip" vert="horz" wrap="square" lIns="38100" tIns="19050" rIns="38100" bIns="19050" anchor="ctr" anchorCtr="1">
                <a:sp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'Utregning av grafer'!$L$274:$M$274</c:f>
              <c:strCache>
                <c:ptCount val="2"/>
                <c:pt idx="0">
                  <c:v>Andel anskaffelser som har stilt krav til flammehemmere</c:v>
                </c:pt>
                <c:pt idx="1">
                  <c:v>Ikke stilt krav</c:v>
                </c:pt>
              </c:strCache>
            </c:strRef>
          </c:cat>
          <c:val>
            <c:numRef>
              <c:f>'Utregning av grafer'!$L$275:$M$275</c:f>
              <c:numCache>
                <c:formatCode>0%</c:formatCode>
                <c:ptCount val="2"/>
                <c:pt idx="0">
                  <c:v>0.60377358490566035</c:v>
                </c:pt>
                <c:pt idx="1">
                  <c:v>0.39622641509433965</c:v>
                </c:pt>
              </c:numCache>
            </c:numRef>
          </c:val>
          <c:extLst>
            <c:ext xmlns:c16="http://schemas.microsoft.com/office/drawing/2014/chart" uri="{C3380CC4-5D6E-409C-BE32-E72D297353CC}">
              <c16:uniqueId val="{00000004-F408-49A0-B9A7-B15D5E6B0F7C}"/>
            </c:ext>
          </c:extLst>
        </c:ser>
        <c:dLbls>
          <c:showLegendKey val="0"/>
          <c:showVal val="0"/>
          <c:showCatName val="0"/>
          <c:showSerName val="0"/>
          <c:showPercent val="0"/>
          <c:showBubbleSize val="0"/>
          <c:showLeaderLines val="0"/>
        </c:dLbls>
        <c:firstSliceAng val="0"/>
        <c:holeSize val="50"/>
      </c:doughnutChart>
      <c:spPr>
        <a:noFill/>
        <a:ln>
          <a:noFill/>
        </a:ln>
        <a:effectLst/>
      </c:spPr>
    </c:plotArea>
    <c:legend>
      <c:legendPos val="l"/>
      <c:legendEntry>
        <c:idx val="1"/>
        <c:delete val="1"/>
      </c:legendEntry>
      <c:layout>
        <c:manualLayout>
          <c:xMode val="edge"/>
          <c:yMode val="edge"/>
          <c:x val="5.7327016476743806E-2"/>
          <c:y val="0.29087541917013648"/>
          <c:w val="0.27703290057408758"/>
          <c:h val="0.42746751847434872"/>
        </c:manualLayout>
      </c:layout>
      <c:overlay val="0"/>
      <c:spPr>
        <a:noFill/>
        <a:ln>
          <a:noFill/>
        </a:ln>
        <a:effectLst/>
      </c:spPr>
      <c:txPr>
        <a:bodyPr rot="0" spcFirstLastPara="1" vertOverflow="ellipsis" vert="horz" wrap="square" anchor="ctr" anchorCtr="1"/>
        <a:lstStyle/>
        <a:p>
          <a:pPr rtl="0">
            <a:defRPr sz="105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legend>
    <c:plotVisOnly val="1"/>
    <c:dispBlanksAs val="gap"/>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012A4C"/>
            </a:solidFill>
          </c:spPr>
          <c:dPt>
            <c:idx val="0"/>
            <c:bubble3D val="0"/>
            <c:spPr>
              <a:solidFill>
                <a:srgbClr val="012A4C"/>
              </a:solidFill>
              <a:ln w="19050">
                <a:solidFill>
                  <a:schemeClr val="lt1"/>
                </a:solidFill>
              </a:ln>
              <a:effectLst/>
            </c:spPr>
            <c:extLst>
              <c:ext xmlns:c16="http://schemas.microsoft.com/office/drawing/2014/chart" uri="{C3380CC4-5D6E-409C-BE32-E72D297353CC}">
                <c16:uniqueId val="{00000001-D12E-4EFB-9D97-E7D4CF3ED852}"/>
              </c:ext>
            </c:extLst>
          </c:dPt>
          <c:dPt>
            <c:idx val="1"/>
            <c:bubble3D val="0"/>
            <c:spPr>
              <a:solidFill>
                <a:srgbClr val="D1D1D1"/>
              </a:solidFill>
              <a:ln w="19050">
                <a:solidFill>
                  <a:schemeClr val="lt1"/>
                </a:solidFill>
              </a:ln>
              <a:effectLst/>
            </c:spPr>
            <c:extLst>
              <c:ext xmlns:c16="http://schemas.microsoft.com/office/drawing/2014/chart" uri="{C3380CC4-5D6E-409C-BE32-E72D297353CC}">
                <c16:uniqueId val="{00000003-D12E-4EFB-9D97-E7D4CF3ED852}"/>
              </c:ext>
            </c:extLst>
          </c:dPt>
          <c:dLbls>
            <c:dLbl>
              <c:idx val="0"/>
              <c:layout>
                <c:manualLayout>
                  <c:x val="-0.16218566214298866"/>
                  <c:y val="0.12128095166893997"/>
                </c:manualLayout>
              </c:layout>
              <c:spPr>
                <a:solidFill>
                  <a:srgbClr val="EFEFEF"/>
                </a:solidFill>
                <a:ln>
                  <a:solidFill>
                    <a:srgbClr val="EFEFEF"/>
                  </a:solidFill>
                </a:ln>
                <a:effectLst/>
              </c:spPr>
              <c:txPr>
                <a:bodyPr rot="0" spcFirstLastPara="1" vertOverflow="clip" horzOverflow="clip" vert="horz" wrap="square" lIns="38100" tIns="19050" rIns="38100" bIns="19050" anchor="ctr" anchorCtr="1">
                  <a:no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ellipse">
                      <a:avLst/>
                    </a:prstGeom>
                    <a:noFill/>
                    <a:ln>
                      <a:noFill/>
                    </a:ln>
                  </c15:spPr>
                  <c15:layout>
                    <c:manualLayout>
                      <c:w val="0.18335676518944771"/>
                      <c:h val="0.15917627515013452"/>
                    </c:manualLayout>
                  </c15:layout>
                </c:ext>
                <c:ext xmlns:c16="http://schemas.microsoft.com/office/drawing/2014/chart" uri="{C3380CC4-5D6E-409C-BE32-E72D297353CC}">
                  <c16:uniqueId val="{00000001-D12E-4EFB-9D97-E7D4CF3ED852}"/>
                </c:ext>
              </c:extLst>
            </c:dLbl>
            <c:dLbl>
              <c:idx val="1"/>
              <c:delete val="1"/>
              <c:extLst>
                <c:ext xmlns:c15="http://schemas.microsoft.com/office/drawing/2012/chart" uri="{CE6537A1-D6FC-4f65-9D91-7224C49458BB}">
                  <c15:layout>
                    <c:manualLayout>
                      <c:w val="0.27826745945743964"/>
                      <c:h val="0.31296246542270384"/>
                    </c:manualLayout>
                  </c15:layout>
                </c:ext>
                <c:ext xmlns:c16="http://schemas.microsoft.com/office/drawing/2014/chart" uri="{C3380CC4-5D6E-409C-BE32-E72D297353CC}">
                  <c16:uniqueId val="{00000003-D12E-4EFB-9D97-E7D4CF3ED852}"/>
                </c:ext>
              </c:extLst>
            </c:dLbl>
            <c:spPr>
              <a:solidFill>
                <a:srgbClr val="EFEFEF"/>
              </a:solidFill>
              <a:ln>
                <a:solidFill>
                  <a:srgbClr val="EFEFEF"/>
                </a:solidFill>
              </a:ln>
              <a:effectLst/>
            </c:spPr>
            <c:txPr>
              <a:bodyPr rot="0" spcFirstLastPara="1" vertOverflow="clip" horzOverflow="clip" vert="horz" wrap="square" lIns="38100" tIns="19050" rIns="38100" bIns="19050" anchor="ctr" anchorCtr="1">
                <a:sp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'Utregning av grafer'!$L$282:$M$282</c:f>
              <c:strCache>
                <c:ptCount val="2"/>
                <c:pt idx="0">
                  <c:v>Andel anskaffelser som har stilt krav til PVC</c:v>
                </c:pt>
                <c:pt idx="1">
                  <c:v>Ikke stilt krav</c:v>
                </c:pt>
              </c:strCache>
            </c:strRef>
          </c:cat>
          <c:val>
            <c:numRef>
              <c:f>'Utregning av grafer'!$L$283:$M$283</c:f>
              <c:numCache>
                <c:formatCode>0%</c:formatCode>
                <c:ptCount val="2"/>
                <c:pt idx="0">
                  <c:v>0.35849056603773582</c:v>
                </c:pt>
                <c:pt idx="1">
                  <c:v>0.64150943396226423</c:v>
                </c:pt>
              </c:numCache>
            </c:numRef>
          </c:val>
          <c:extLst>
            <c:ext xmlns:c16="http://schemas.microsoft.com/office/drawing/2014/chart" uri="{C3380CC4-5D6E-409C-BE32-E72D297353CC}">
              <c16:uniqueId val="{00000004-D12E-4EFB-9D97-E7D4CF3ED852}"/>
            </c:ext>
          </c:extLst>
        </c:ser>
        <c:dLbls>
          <c:showLegendKey val="0"/>
          <c:showVal val="0"/>
          <c:showCatName val="0"/>
          <c:showSerName val="0"/>
          <c:showPercent val="0"/>
          <c:showBubbleSize val="0"/>
          <c:showLeaderLines val="0"/>
        </c:dLbls>
        <c:firstSliceAng val="0"/>
        <c:holeSize val="50"/>
      </c:doughnutChart>
      <c:spPr>
        <a:noFill/>
        <a:ln>
          <a:noFill/>
        </a:ln>
        <a:effectLst/>
      </c:spPr>
    </c:plotArea>
    <c:legend>
      <c:legendPos val="l"/>
      <c:legendEntry>
        <c:idx val="1"/>
        <c:delete val="1"/>
      </c:legendEntry>
      <c:layout>
        <c:manualLayout>
          <c:xMode val="edge"/>
          <c:yMode val="edge"/>
          <c:x val="5.7327016476743806E-2"/>
          <c:y val="0.29087541917013648"/>
          <c:w val="0.27703290057408758"/>
          <c:h val="0.42746751847434872"/>
        </c:manualLayout>
      </c:layout>
      <c:overlay val="0"/>
      <c:spPr>
        <a:noFill/>
        <a:ln>
          <a:noFill/>
        </a:ln>
        <a:effectLst/>
      </c:spPr>
      <c:txPr>
        <a:bodyPr rot="0" spcFirstLastPara="1" vertOverflow="ellipsis" vert="horz" wrap="square" anchor="ctr" anchorCtr="1"/>
        <a:lstStyle/>
        <a:p>
          <a:pPr rtl="0">
            <a:defRPr sz="105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legend>
    <c:plotVisOnly val="1"/>
    <c:dispBlanksAs val="gap"/>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012A4C"/>
            </a:solidFill>
          </c:spPr>
          <c:dPt>
            <c:idx val="0"/>
            <c:bubble3D val="0"/>
            <c:spPr>
              <a:solidFill>
                <a:srgbClr val="012A4C"/>
              </a:solidFill>
              <a:ln w="19050">
                <a:solidFill>
                  <a:schemeClr val="lt1"/>
                </a:solidFill>
              </a:ln>
              <a:effectLst/>
            </c:spPr>
            <c:extLst>
              <c:ext xmlns:c16="http://schemas.microsoft.com/office/drawing/2014/chart" uri="{C3380CC4-5D6E-409C-BE32-E72D297353CC}">
                <c16:uniqueId val="{00000001-D6C4-4D4D-BBF9-CE23AD387DD7}"/>
              </c:ext>
            </c:extLst>
          </c:dPt>
          <c:dPt>
            <c:idx val="1"/>
            <c:bubble3D val="0"/>
            <c:spPr>
              <a:solidFill>
                <a:srgbClr val="D1D1D1"/>
              </a:solidFill>
              <a:ln w="19050">
                <a:solidFill>
                  <a:schemeClr val="lt1"/>
                </a:solidFill>
              </a:ln>
              <a:effectLst/>
            </c:spPr>
            <c:extLst>
              <c:ext xmlns:c16="http://schemas.microsoft.com/office/drawing/2014/chart" uri="{C3380CC4-5D6E-409C-BE32-E72D297353CC}">
                <c16:uniqueId val="{00000003-D6C4-4D4D-BBF9-CE23AD387DD7}"/>
              </c:ext>
            </c:extLst>
          </c:dPt>
          <c:dLbls>
            <c:dLbl>
              <c:idx val="0"/>
              <c:layout>
                <c:manualLayout>
                  <c:x val="-1.0878922115478343E-2"/>
                  <c:y val="0.29127313601137678"/>
                </c:manualLayout>
              </c:layout>
              <c:spPr>
                <a:solidFill>
                  <a:srgbClr val="EFEFEF"/>
                </a:solidFill>
                <a:ln>
                  <a:solidFill>
                    <a:srgbClr val="EFEFEF"/>
                  </a:solidFill>
                </a:ln>
                <a:effectLst/>
              </c:spPr>
              <c:txPr>
                <a:bodyPr rot="0" spcFirstLastPara="1" vertOverflow="clip" horzOverflow="clip" vert="horz" wrap="square" lIns="38100" tIns="19050" rIns="38100" bIns="19050" anchor="ctr" anchorCtr="1">
                  <a:no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ellipse">
                      <a:avLst/>
                    </a:prstGeom>
                    <a:noFill/>
                    <a:ln>
                      <a:noFill/>
                    </a:ln>
                  </c15:spPr>
                  <c15:layout>
                    <c:manualLayout>
                      <c:w val="0.18335676518944771"/>
                      <c:h val="0.15917627515013452"/>
                    </c:manualLayout>
                  </c15:layout>
                </c:ext>
                <c:ext xmlns:c16="http://schemas.microsoft.com/office/drawing/2014/chart" uri="{C3380CC4-5D6E-409C-BE32-E72D297353CC}">
                  <c16:uniqueId val="{00000001-D6C4-4D4D-BBF9-CE23AD387DD7}"/>
                </c:ext>
              </c:extLst>
            </c:dLbl>
            <c:dLbl>
              <c:idx val="1"/>
              <c:delete val="1"/>
              <c:extLst>
                <c:ext xmlns:c15="http://schemas.microsoft.com/office/drawing/2012/chart" uri="{CE6537A1-D6FC-4f65-9D91-7224C49458BB}">
                  <c15:layout>
                    <c:manualLayout>
                      <c:w val="0.27826745945743964"/>
                      <c:h val="0.31296246542270384"/>
                    </c:manualLayout>
                  </c15:layout>
                </c:ext>
                <c:ext xmlns:c16="http://schemas.microsoft.com/office/drawing/2014/chart" uri="{C3380CC4-5D6E-409C-BE32-E72D297353CC}">
                  <c16:uniqueId val="{00000003-D6C4-4D4D-BBF9-CE23AD387DD7}"/>
                </c:ext>
              </c:extLst>
            </c:dLbl>
            <c:spPr>
              <a:solidFill>
                <a:srgbClr val="EFEFEF"/>
              </a:solidFill>
              <a:ln>
                <a:solidFill>
                  <a:srgbClr val="EFEFEF"/>
                </a:solidFill>
              </a:ln>
              <a:effectLst/>
            </c:spPr>
            <c:txPr>
              <a:bodyPr rot="0" spcFirstLastPara="1" vertOverflow="clip" horzOverflow="clip" vert="horz" wrap="square" lIns="38100" tIns="19050" rIns="38100" bIns="19050" anchor="ctr" anchorCtr="1">
                <a:sp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'Utregning av grafer'!$A$291:$B$291</c:f>
              <c:strCache>
                <c:ptCount val="2"/>
                <c:pt idx="0">
                  <c:v>Andel anskaffelser som har stilt krav til tungmetaller</c:v>
                </c:pt>
                <c:pt idx="1">
                  <c:v>Ikke stilt krav </c:v>
                </c:pt>
              </c:strCache>
            </c:strRef>
          </c:cat>
          <c:val>
            <c:numRef>
              <c:f>'Utregning av grafer'!$A$292:$B$292</c:f>
              <c:numCache>
                <c:formatCode>0%</c:formatCode>
                <c:ptCount val="2"/>
                <c:pt idx="0">
                  <c:v>1.8867924528301886E-2</c:v>
                </c:pt>
                <c:pt idx="1">
                  <c:v>0.98113207547169812</c:v>
                </c:pt>
              </c:numCache>
            </c:numRef>
          </c:val>
          <c:extLst>
            <c:ext xmlns:c16="http://schemas.microsoft.com/office/drawing/2014/chart" uri="{C3380CC4-5D6E-409C-BE32-E72D297353CC}">
              <c16:uniqueId val="{00000004-D6C4-4D4D-BBF9-CE23AD387DD7}"/>
            </c:ext>
          </c:extLst>
        </c:ser>
        <c:dLbls>
          <c:showLegendKey val="0"/>
          <c:showVal val="0"/>
          <c:showCatName val="0"/>
          <c:showSerName val="0"/>
          <c:showPercent val="0"/>
          <c:showBubbleSize val="0"/>
          <c:showLeaderLines val="0"/>
        </c:dLbls>
        <c:firstSliceAng val="0"/>
        <c:holeSize val="50"/>
      </c:doughnutChart>
      <c:spPr>
        <a:noFill/>
        <a:ln>
          <a:noFill/>
        </a:ln>
        <a:effectLst/>
      </c:spPr>
    </c:plotArea>
    <c:legend>
      <c:legendPos val="l"/>
      <c:legendEntry>
        <c:idx val="1"/>
        <c:delete val="1"/>
      </c:legendEntry>
      <c:layout>
        <c:manualLayout>
          <c:xMode val="edge"/>
          <c:yMode val="edge"/>
          <c:x val="5.7327016476743806E-2"/>
          <c:y val="0.29087541917013648"/>
          <c:w val="0.27703290057408758"/>
          <c:h val="0.42746751847434872"/>
        </c:manualLayout>
      </c:layout>
      <c:overlay val="0"/>
      <c:spPr>
        <a:noFill/>
        <a:ln>
          <a:noFill/>
        </a:ln>
        <a:effectLst/>
      </c:spPr>
      <c:txPr>
        <a:bodyPr rot="0" spcFirstLastPara="1" vertOverflow="ellipsis" vert="horz" wrap="square" anchor="ctr" anchorCtr="1"/>
        <a:lstStyle/>
        <a:p>
          <a:pPr rtl="0">
            <a:defRPr sz="105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legend>
    <c:plotVisOnly val="1"/>
    <c:dispBlanksAs val="gap"/>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012A4C"/>
            </a:solidFill>
          </c:spPr>
          <c:dPt>
            <c:idx val="0"/>
            <c:bubble3D val="0"/>
            <c:spPr>
              <a:solidFill>
                <a:srgbClr val="012A4C"/>
              </a:solidFill>
              <a:ln w="19050">
                <a:solidFill>
                  <a:schemeClr val="lt1"/>
                </a:solidFill>
              </a:ln>
              <a:effectLst/>
            </c:spPr>
            <c:extLst>
              <c:ext xmlns:c16="http://schemas.microsoft.com/office/drawing/2014/chart" uri="{C3380CC4-5D6E-409C-BE32-E72D297353CC}">
                <c16:uniqueId val="{00000001-9D51-488F-9156-FB865B050F03}"/>
              </c:ext>
            </c:extLst>
          </c:dPt>
          <c:dPt>
            <c:idx val="1"/>
            <c:bubble3D val="0"/>
            <c:spPr>
              <a:solidFill>
                <a:srgbClr val="D1D1D1"/>
              </a:solidFill>
              <a:ln w="19050">
                <a:solidFill>
                  <a:schemeClr val="lt1"/>
                </a:solidFill>
              </a:ln>
              <a:effectLst/>
            </c:spPr>
            <c:extLst>
              <c:ext xmlns:c16="http://schemas.microsoft.com/office/drawing/2014/chart" uri="{C3380CC4-5D6E-409C-BE32-E72D297353CC}">
                <c16:uniqueId val="{00000003-9D51-488F-9156-FB865B050F03}"/>
              </c:ext>
            </c:extLst>
          </c:dPt>
          <c:dLbls>
            <c:dLbl>
              <c:idx val="0"/>
              <c:layout>
                <c:manualLayout>
                  <c:x val="-0.12642225086375894"/>
                  <c:y val="0.21664242093420932"/>
                </c:manualLayout>
              </c:layout>
              <c:spPr>
                <a:solidFill>
                  <a:srgbClr val="EFEFEF"/>
                </a:solidFill>
                <a:ln>
                  <a:solidFill>
                    <a:srgbClr val="EFEFEF"/>
                  </a:solidFill>
                </a:ln>
                <a:effectLst/>
              </c:spPr>
              <c:txPr>
                <a:bodyPr rot="0" spcFirstLastPara="1" vertOverflow="clip" horzOverflow="clip" vert="horz" wrap="square" lIns="38100" tIns="19050" rIns="38100" bIns="19050" anchor="ctr" anchorCtr="1">
                  <a:no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ellipse">
                      <a:avLst/>
                    </a:prstGeom>
                    <a:noFill/>
                    <a:ln>
                      <a:noFill/>
                    </a:ln>
                  </c15:spPr>
                  <c15:layout>
                    <c:manualLayout>
                      <c:w val="0.18335676518944771"/>
                      <c:h val="0.15917627515013452"/>
                    </c:manualLayout>
                  </c15:layout>
                </c:ext>
                <c:ext xmlns:c16="http://schemas.microsoft.com/office/drawing/2014/chart" uri="{C3380CC4-5D6E-409C-BE32-E72D297353CC}">
                  <c16:uniqueId val="{00000001-9D51-488F-9156-FB865B050F03}"/>
                </c:ext>
              </c:extLst>
            </c:dLbl>
            <c:dLbl>
              <c:idx val="1"/>
              <c:delete val="1"/>
              <c:extLst>
                <c:ext xmlns:c15="http://schemas.microsoft.com/office/drawing/2012/chart" uri="{CE6537A1-D6FC-4f65-9D91-7224C49458BB}">
                  <c15:layout>
                    <c:manualLayout>
                      <c:w val="0.27826745945743964"/>
                      <c:h val="0.31296246542270384"/>
                    </c:manualLayout>
                  </c15:layout>
                </c:ext>
                <c:ext xmlns:c16="http://schemas.microsoft.com/office/drawing/2014/chart" uri="{C3380CC4-5D6E-409C-BE32-E72D297353CC}">
                  <c16:uniqueId val="{00000003-9D51-488F-9156-FB865B050F03}"/>
                </c:ext>
              </c:extLst>
            </c:dLbl>
            <c:spPr>
              <a:solidFill>
                <a:srgbClr val="EFEFEF"/>
              </a:solidFill>
              <a:ln>
                <a:solidFill>
                  <a:srgbClr val="EFEFEF"/>
                </a:solidFill>
              </a:ln>
              <a:effectLst/>
            </c:spPr>
            <c:txPr>
              <a:bodyPr rot="0" spcFirstLastPara="1" vertOverflow="clip" horzOverflow="clip" vert="horz" wrap="square" lIns="38100" tIns="19050" rIns="38100" bIns="19050" anchor="ctr" anchorCtr="1">
                <a:sp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'Utregning av grafer'!$I$297:$J$297</c:f>
              <c:strCache>
                <c:ptCount val="2"/>
                <c:pt idx="0">
                  <c:v>Andel anskaffelser som har stilt krav til kvikksølv</c:v>
                </c:pt>
                <c:pt idx="1">
                  <c:v>Ikke stilt krav</c:v>
                </c:pt>
              </c:strCache>
            </c:strRef>
          </c:cat>
          <c:val>
            <c:numRef>
              <c:f>'Utregning av grafer'!$I$298:$J$298</c:f>
              <c:numCache>
                <c:formatCode>0%</c:formatCode>
                <c:ptCount val="2"/>
                <c:pt idx="0">
                  <c:v>0.24528301886792453</c:v>
                </c:pt>
                <c:pt idx="1">
                  <c:v>0.75471698113207553</c:v>
                </c:pt>
              </c:numCache>
            </c:numRef>
          </c:val>
          <c:extLst>
            <c:ext xmlns:c16="http://schemas.microsoft.com/office/drawing/2014/chart" uri="{C3380CC4-5D6E-409C-BE32-E72D297353CC}">
              <c16:uniqueId val="{00000004-9D51-488F-9156-FB865B050F03}"/>
            </c:ext>
          </c:extLst>
        </c:ser>
        <c:dLbls>
          <c:showLegendKey val="0"/>
          <c:showVal val="0"/>
          <c:showCatName val="0"/>
          <c:showSerName val="0"/>
          <c:showPercent val="0"/>
          <c:showBubbleSize val="0"/>
          <c:showLeaderLines val="0"/>
        </c:dLbls>
        <c:firstSliceAng val="0"/>
        <c:holeSize val="50"/>
      </c:doughnutChart>
      <c:spPr>
        <a:noFill/>
        <a:ln>
          <a:noFill/>
        </a:ln>
        <a:effectLst/>
      </c:spPr>
    </c:plotArea>
    <c:legend>
      <c:legendPos val="l"/>
      <c:legendEntry>
        <c:idx val="1"/>
        <c:delete val="1"/>
      </c:legendEntry>
      <c:layout>
        <c:manualLayout>
          <c:xMode val="edge"/>
          <c:yMode val="edge"/>
          <c:x val="5.7327016476743806E-2"/>
          <c:y val="0.29087541917013648"/>
          <c:w val="0.27703290057408758"/>
          <c:h val="0.42746751847434872"/>
        </c:manualLayout>
      </c:layout>
      <c:overlay val="0"/>
      <c:spPr>
        <a:noFill/>
        <a:ln>
          <a:noFill/>
        </a:ln>
        <a:effectLst/>
      </c:spPr>
      <c:txPr>
        <a:bodyPr rot="0" spcFirstLastPara="1" vertOverflow="ellipsis" vert="horz" wrap="square" anchor="ctr" anchorCtr="1"/>
        <a:lstStyle/>
        <a:p>
          <a:pPr rtl="0">
            <a:defRPr sz="105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legend>
    <c:plotVisOnly val="1"/>
    <c:dispBlanksAs val="gap"/>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012A4C"/>
            </a:solidFill>
          </c:spPr>
          <c:dPt>
            <c:idx val="0"/>
            <c:bubble3D val="0"/>
            <c:spPr>
              <a:solidFill>
                <a:srgbClr val="012A4C"/>
              </a:solidFill>
              <a:ln w="19050">
                <a:solidFill>
                  <a:schemeClr val="lt1"/>
                </a:solidFill>
              </a:ln>
              <a:effectLst/>
            </c:spPr>
            <c:extLst>
              <c:ext xmlns:c16="http://schemas.microsoft.com/office/drawing/2014/chart" uri="{C3380CC4-5D6E-409C-BE32-E72D297353CC}">
                <c16:uniqueId val="{00000001-A8B6-42E0-A878-4A09FFEDC161}"/>
              </c:ext>
            </c:extLst>
          </c:dPt>
          <c:dPt>
            <c:idx val="1"/>
            <c:bubble3D val="0"/>
            <c:spPr>
              <a:solidFill>
                <a:srgbClr val="D1D1D1"/>
              </a:solidFill>
              <a:ln w="19050">
                <a:solidFill>
                  <a:schemeClr val="lt1"/>
                </a:solidFill>
              </a:ln>
              <a:effectLst/>
            </c:spPr>
            <c:extLst>
              <c:ext xmlns:c16="http://schemas.microsoft.com/office/drawing/2014/chart" uri="{C3380CC4-5D6E-409C-BE32-E72D297353CC}">
                <c16:uniqueId val="{00000003-A8B6-42E0-A878-4A09FFEDC161}"/>
              </c:ext>
            </c:extLst>
          </c:dPt>
          <c:dLbls>
            <c:dLbl>
              <c:idx val="0"/>
              <c:layout>
                <c:manualLayout>
                  <c:x val="-0.1786918519641717"/>
                  <c:y val="1.7627180728429656E-2"/>
                </c:manualLayout>
              </c:layout>
              <c:spPr>
                <a:solidFill>
                  <a:srgbClr val="EFEFEF"/>
                </a:solidFill>
                <a:ln>
                  <a:solidFill>
                    <a:srgbClr val="EFEFEF"/>
                  </a:solidFill>
                </a:ln>
                <a:effectLst/>
              </c:spPr>
              <c:txPr>
                <a:bodyPr rot="0" spcFirstLastPara="1" vertOverflow="clip" horzOverflow="clip" vert="horz" wrap="square" lIns="38100" tIns="19050" rIns="38100" bIns="19050" anchor="ctr" anchorCtr="1">
                  <a:no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ellipse">
                      <a:avLst/>
                    </a:prstGeom>
                    <a:noFill/>
                    <a:ln>
                      <a:noFill/>
                    </a:ln>
                  </c15:spPr>
                  <c15:layout>
                    <c:manualLayout>
                      <c:w val="0.18335676518944771"/>
                      <c:h val="0.15917627515013452"/>
                    </c:manualLayout>
                  </c15:layout>
                </c:ext>
                <c:ext xmlns:c16="http://schemas.microsoft.com/office/drawing/2014/chart" uri="{C3380CC4-5D6E-409C-BE32-E72D297353CC}">
                  <c16:uniqueId val="{00000001-A8B6-42E0-A878-4A09FFEDC161}"/>
                </c:ext>
              </c:extLst>
            </c:dLbl>
            <c:dLbl>
              <c:idx val="1"/>
              <c:delete val="1"/>
              <c:extLst>
                <c:ext xmlns:c15="http://schemas.microsoft.com/office/drawing/2012/chart" uri="{CE6537A1-D6FC-4f65-9D91-7224C49458BB}">
                  <c15:layout>
                    <c:manualLayout>
                      <c:w val="0.27826745945743964"/>
                      <c:h val="0.31296246542270384"/>
                    </c:manualLayout>
                  </c15:layout>
                </c:ext>
                <c:ext xmlns:c16="http://schemas.microsoft.com/office/drawing/2014/chart" uri="{C3380CC4-5D6E-409C-BE32-E72D297353CC}">
                  <c16:uniqueId val="{00000003-A8B6-42E0-A878-4A09FFEDC161}"/>
                </c:ext>
              </c:extLst>
            </c:dLbl>
            <c:spPr>
              <a:solidFill>
                <a:srgbClr val="EFEFEF"/>
              </a:solidFill>
              <a:ln>
                <a:solidFill>
                  <a:srgbClr val="EFEFEF"/>
                </a:solidFill>
              </a:ln>
              <a:effectLst/>
            </c:spPr>
            <c:txPr>
              <a:bodyPr rot="0" spcFirstLastPara="1" vertOverflow="clip" horzOverflow="clip" vert="horz" wrap="square" lIns="38100" tIns="19050" rIns="38100" bIns="19050" anchor="ctr" anchorCtr="1">
                <a:sp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'Utregning av grafer'!$I$305:$J$305</c:f>
              <c:strCache>
                <c:ptCount val="2"/>
                <c:pt idx="0">
                  <c:v>Andel anskaffelser som har stilt krav til krom</c:v>
                </c:pt>
                <c:pt idx="1">
                  <c:v>Ikke stilt krav</c:v>
                </c:pt>
              </c:strCache>
            </c:strRef>
          </c:cat>
          <c:val>
            <c:numRef>
              <c:f>'Utregning av grafer'!$I$306:$J$306</c:f>
              <c:numCache>
                <c:formatCode>0%</c:formatCode>
                <c:ptCount val="2"/>
                <c:pt idx="0">
                  <c:v>0.49056603773584906</c:v>
                </c:pt>
                <c:pt idx="1">
                  <c:v>0.50943396226415094</c:v>
                </c:pt>
              </c:numCache>
            </c:numRef>
          </c:val>
          <c:extLst>
            <c:ext xmlns:c16="http://schemas.microsoft.com/office/drawing/2014/chart" uri="{C3380CC4-5D6E-409C-BE32-E72D297353CC}">
              <c16:uniqueId val="{00000004-A8B6-42E0-A878-4A09FFEDC161}"/>
            </c:ext>
          </c:extLst>
        </c:ser>
        <c:dLbls>
          <c:showLegendKey val="0"/>
          <c:showVal val="0"/>
          <c:showCatName val="0"/>
          <c:showSerName val="0"/>
          <c:showPercent val="0"/>
          <c:showBubbleSize val="0"/>
          <c:showLeaderLines val="0"/>
        </c:dLbls>
        <c:firstSliceAng val="0"/>
        <c:holeSize val="50"/>
      </c:doughnutChart>
      <c:spPr>
        <a:noFill/>
        <a:ln>
          <a:noFill/>
        </a:ln>
        <a:effectLst/>
      </c:spPr>
    </c:plotArea>
    <c:legend>
      <c:legendPos val="l"/>
      <c:legendEntry>
        <c:idx val="1"/>
        <c:delete val="1"/>
      </c:legendEntry>
      <c:layout>
        <c:manualLayout>
          <c:xMode val="edge"/>
          <c:yMode val="edge"/>
          <c:x val="5.7327016476743806E-2"/>
          <c:y val="0.29087541917013648"/>
          <c:w val="0.27703290057408758"/>
          <c:h val="0.42746751847434872"/>
        </c:manualLayout>
      </c:layout>
      <c:overlay val="0"/>
      <c:spPr>
        <a:noFill/>
        <a:ln>
          <a:noFill/>
        </a:ln>
        <a:effectLst/>
      </c:spPr>
      <c:txPr>
        <a:bodyPr rot="0" spcFirstLastPara="1" vertOverflow="ellipsis" vert="horz" wrap="square" anchor="ctr" anchorCtr="1"/>
        <a:lstStyle/>
        <a:p>
          <a:pPr rtl="0">
            <a:defRPr sz="105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legend>
    <c:plotVisOnly val="1"/>
    <c:dispBlanksAs val="gap"/>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012A4C"/>
            </a:solidFill>
          </c:spPr>
          <c:dPt>
            <c:idx val="0"/>
            <c:bubble3D val="0"/>
            <c:spPr>
              <a:solidFill>
                <a:srgbClr val="012A4C"/>
              </a:solidFill>
              <a:ln w="19050">
                <a:solidFill>
                  <a:schemeClr val="lt1"/>
                </a:solidFill>
              </a:ln>
              <a:effectLst/>
            </c:spPr>
            <c:extLst>
              <c:ext xmlns:c16="http://schemas.microsoft.com/office/drawing/2014/chart" uri="{C3380CC4-5D6E-409C-BE32-E72D297353CC}">
                <c16:uniqueId val="{00000001-39E3-43C2-AF65-F678D8B24B6C}"/>
              </c:ext>
            </c:extLst>
          </c:dPt>
          <c:dPt>
            <c:idx val="1"/>
            <c:bubble3D val="0"/>
            <c:spPr>
              <a:solidFill>
                <a:srgbClr val="D1D1D1"/>
              </a:solidFill>
              <a:ln w="19050">
                <a:solidFill>
                  <a:schemeClr val="lt1"/>
                </a:solidFill>
              </a:ln>
              <a:effectLst/>
            </c:spPr>
            <c:extLst>
              <c:ext xmlns:c16="http://schemas.microsoft.com/office/drawing/2014/chart" uri="{C3380CC4-5D6E-409C-BE32-E72D297353CC}">
                <c16:uniqueId val="{00000003-39E3-43C2-AF65-F678D8B24B6C}"/>
              </c:ext>
            </c:extLst>
          </c:dPt>
          <c:dLbls>
            <c:dLbl>
              <c:idx val="0"/>
              <c:layout>
                <c:manualLayout>
                  <c:x val="-0.15118153559553346"/>
                  <c:y val="0.17932706339562562"/>
                </c:manualLayout>
              </c:layout>
              <c:spPr>
                <a:solidFill>
                  <a:srgbClr val="EFEFEF"/>
                </a:solidFill>
                <a:ln>
                  <a:solidFill>
                    <a:srgbClr val="EFEFEF"/>
                  </a:solidFill>
                </a:ln>
                <a:effectLst/>
              </c:spPr>
              <c:txPr>
                <a:bodyPr rot="0" spcFirstLastPara="1" vertOverflow="clip" horzOverflow="clip" vert="horz" wrap="square" lIns="38100" tIns="19050" rIns="38100" bIns="19050" anchor="ctr" anchorCtr="1">
                  <a:no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ellipse">
                      <a:avLst/>
                    </a:prstGeom>
                    <a:noFill/>
                    <a:ln>
                      <a:noFill/>
                    </a:ln>
                  </c15:spPr>
                  <c15:layout>
                    <c:manualLayout>
                      <c:w val="0.18335676518944771"/>
                      <c:h val="0.15917627515013452"/>
                    </c:manualLayout>
                  </c15:layout>
                </c:ext>
                <c:ext xmlns:c16="http://schemas.microsoft.com/office/drawing/2014/chart" uri="{C3380CC4-5D6E-409C-BE32-E72D297353CC}">
                  <c16:uniqueId val="{00000001-39E3-43C2-AF65-F678D8B24B6C}"/>
                </c:ext>
              </c:extLst>
            </c:dLbl>
            <c:dLbl>
              <c:idx val="1"/>
              <c:delete val="1"/>
              <c:extLst>
                <c:ext xmlns:c15="http://schemas.microsoft.com/office/drawing/2012/chart" uri="{CE6537A1-D6FC-4f65-9D91-7224C49458BB}">
                  <c15:layout>
                    <c:manualLayout>
                      <c:w val="0.27826745945743964"/>
                      <c:h val="0.31296246542270384"/>
                    </c:manualLayout>
                  </c15:layout>
                </c:ext>
                <c:ext xmlns:c16="http://schemas.microsoft.com/office/drawing/2014/chart" uri="{C3380CC4-5D6E-409C-BE32-E72D297353CC}">
                  <c16:uniqueId val="{00000003-39E3-43C2-AF65-F678D8B24B6C}"/>
                </c:ext>
              </c:extLst>
            </c:dLbl>
            <c:spPr>
              <a:solidFill>
                <a:srgbClr val="EFEFEF"/>
              </a:solidFill>
              <a:ln>
                <a:solidFill>
                  <a:srgbClr val="EFEFEF"/>
                </a:solidFill>
              </a:ln>
              <a:effectLst/>
            </c:spPr>
            <c:txPr>
              <a:bodyPr rot="0" spcFirstLastPara="1" vertOverflow="clip" horzOverflow="clip" vert="horz" wrap="square" lIns="38100" tIns="19050" rIns="38100" bIns="19050" anchor="ctr" anchorCtr="1">
                <a:sp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'Utregning av grafer'!$I$313:$J$313</c:f>
              <c:strCache>
                <c:ptCount val="2"/>
                <c:pt idx="0">
                  <c:v>Andel anskaffelser som har stilt krav til bly</c:v>
                </c:pt>
                <c:pt idx="1">
                  <c:v>Ikke stilt krav</c:v>
                </c:pt>
              </c:strCache>
            </c:strRef>
          </c:cat>
          <c:val>
            <c:numRef>
              <c:f>'Utregning av grafer'!$I$314:$J$314</c:f>
              <c:numCache>
                <c:formatCode>0%</c:formatCode>
                <c:ptCount val="2"/>
                <c:pt idx="0">
                  <c:v>0.28301886792452829</c:v>
                </c:pt>
                <c:pt idx="1">
                  <c:v>0.71698113207547176</c:v>
                </c:pt>
              </c:numCache>
            </c:numRef>
          </c:val>
          <c:extLst>
            <c:ext xmlns:c16="http://schemas.microsoft.com/office/drawing/2014/chart" uri="{C3380CC4-5D6E-409C-BE32-E72D297353CC}">
              <c16:uniqueId val="{00000004-39E3-43C2-AF65-F678D8B24B6C}"/>
            </c:ext>
          </c:extLst>
        </c:ser>
        <c:dLbls>
          <c:showLegendKey val="0"/>
          <c:showVal val="0"/>
          <c:showCatName val="0"/>
          <c:showSerName val="0"/>
          <c:showPercent val="0"/>
          <c:showBubbleSize val="0"/>
          <c:showLeaderLines val="0"/>
        </c:dLbls>
        <c:firstSliceAng val="0"/>
        <c:holeSize val="50"/>
      </c:doughnutChart>
      <c:spPr>
        <a:noFill/>
        <a:ln>
          <a:noFill/>
        </a:ln>
        <a:effectLst/>
      </c:spPr>
    </c:plotArea>
    <c:legend>
      <c:legendPos val="l"/>
      <c:legendEntry>
        <c:idx val="1"/>
        <c:delete val="1"/>
      </c:legendEntry>
      <c:layout>
        <c:manualLayout>
          <c:xMode val="edge"/>
          <c:yMode val="edge"/>
          <c:x val="5.7327016476743806E-2"/>
          <c:y val="0.29087541917013648"/>
          <c:w val="0.27703290057408758"/>
          <c:h val="0.42746751847434872"/>
        </c:manualLayout>
      </c:layout>
      <c:overlay val="0"/>
      <c:spPr>
        <a:noFill/>
        <a:ln>
          <a:noFill/>
        </a:ln>
        <a:effectLst/>
      </c:spPr>
      <c:txPr>
        <a:bodyPr rot="0" spcFirstLastPara="1" vertOverflow="ellipsis" vert="horz" wrap="square" anchor="ctr" anchorCtr="1"/>
        <a:lstStyle/>
        <a:p>
          <a:pPr rtl="0">
            <a:defRPr sz="105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legend>
    <c:plotVisOnly val="1"/>
    <c:dispBlanksAs val="gap"/>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012A4C"/>
            </a:solidFill>
          </c:spPr>
          <c:dPt>
            <c:idx val="0"/>
            <c:bubble3D val="0"/>
            <c:spPr>
              <a:solidFill>
                <a:srgbClr val="012A4C"/>
              </a:solidFill>
              <a:ln w="19050">
                <a:solidFill>
                  <a:schemeClr val="lt1"/>
                </a:solidFill>
              </a:ln>
              <a:effectLst/>
            </c:spPr>
            <c:extLst>
              <c:ext xmlns:c16="http://schemas.microsoft.com/office/drawing/2014/chart" uri="{C3380CC4-5D6E-409C-BE32-E72D297353CC}">
                <c16:uniqueId val="{00000001-9AF5-4DC3-A197-4F9E11918351}"/>
              </c:ext>
            </c:extLst>
          </c:dPt>
          <c:dPt>
            <c:idx val="1"/>
            <c:bubble3D val="0"/>
            <c:spPr>
              <a:solidFill>
                <a:srgbClr val="D1D1D1"/>
              </a:solidFill>
              <a:ln w="19050">
                <a:solidFill>
                  <a:schemeClr val="lt1"/>
                </a:solidFill>
              </a:ln>
              <a:effectLst/>
            </c:spPr>
            <c:extLst>
              <c:ext xmlns:c16="http://schemas.microsoft.com/office/drawing/2014/chart" uri="{C3380CC4-5D6E-409C-BE32-E72D297353CC}">
                <c16:uniqueId val="{00000003-9AF5-4DC3-A197-4F9E11918351}"/>
              </c:ext>
            </c:extLst>
          </c:dPt>
          <c:dLbls>
            <c:dLbl>
              <c:idx val="0"/>
              <c:layout>
                <c:manualLayout>
                  <c:x val="-0.1209201875900313"/>
                  <c:y val="0.20835011925896857"/>
                </c:manualLayout>
              </c:layout>
              <c:spPr>
                <a:solidFill>
                  <a:srgbClr val="EFEFEF"/>
                </a:solidFill>
                <a:ln>
                  <a:solidFill>
                    <a:srgbClr val="EFEFEF"/>
                  </a:solidFill>
                </a:ln>
                <a:effectLst/>
              </c:spPr>
              <c:txPr>
                <a:bodyPr rot="0" spcFirstLastPara="1" vertOverflow="clip" horzOverflow="clip" vert="horz" wrap="square" lIns="38100" tIns="19050" rIns="38100" bIns="19050" anchor="ctr" anchorCtr="1">
                  <a:no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ellipse">
                      <a:avLst/>
                    </a:prstGeom>
                    <a:noFill/>
                    <a:ln>
                      <a:noFill/>
                    </a:ln>
                  </c15:spPr>
                  <c15:layout>
                    <c:manualLayout>
                      <c:w val="0.18335676518944771"/>
                      <c:h val="0.15917627515013452"/>
                    </c:manualLayout>
                  </c15:layout>
                </c:ext>
                <c:ext xmlns:c16="http://schemas.microsoft.com/office/drawing/2014/chart" uri="{C3380CC4-5D6E-409C-BE32-E72D297353CC}">
                  <c16:uniqueId val="{00000001-9AF5-4DC3-A197-4F9E11918351}"/>
                </c:ext>
              </c:extLst>
            </c:dLbl>
            <c:dLbl>
              <c:idx val="1"/>
              <c:delete val="1"/>
              <c:extLst>
                <c:ext xmlns:c15="http://schemas.microsoft.com/office/drawing/2012/chart" uri="{CE6537A1-D6FC-4f65-9D91-7224C49458BB}">
                  <c15:layout>
                    <c:manualLayout>
                      <c:w val="0.27826745945743964"/>
                      <c:h val="0.31296246542270384"/>
                    </c:manualLayout>
                  </c15:layout>
                </c:ext>
                <c:ext xmlns:c16="http://schemas.microsoft.com/office/drawing/2014/chart" uri="{C3380CC4-5D6E-409C-BE32-E72D297353CC}">
                  <c16:uniqueId val="{00000003-9AF5-4DC3-A197-4F9E11918351}"/>
                </c:ext>
              </c:extLst>
            </c:dLbl>
            <c:spPr>
              <a:solidFill>
                <a:srgbClr val="EFEFEF"/>
              </a:solidFill>
              <a:ln>
                <a:solidFill>
                  <a:srgbClr val="EFEFEF"/>
                </a:solidFill>
              </a:ln>
              <a:effectLst/>
            </c:spPr>
            <c:txPr>
              <a:bodyPr rot="0" spcFirstLastPara="1" vertOverflow="clip" horzOverflow="clip" vert="horz" wrap="square" lIns="38100" tIns="19050" rIns="38100" bIns="19050" anchor="ctr" anchorCtr="1">
                <a:sp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'Utregning av grafer'!$I$321:$J$321</c:f>
              <c:strCache>
                <c:ptCount val="2"/>
                <c:pt idx="0">
                  <c:v>Andel anskaffelser som har stilt krav til kadium</c:v>
                </c:pt>
                <c:pt idx="1">
                  <c:v>Ikke stilt krav</c:v>
                </c:pt>
              </c:strCache>
            </c:strRef>
          </c:cat>
          <c:val>
            <c:numRef>
              <c:f>'Utregning av grafer'!$I$322:$J$322</c:f>
              <c:numCache>
                <c:formatCode>0%</c:formatCode>
                <c:ptCount val="2"/>
                <c:pt idx="0">
                  <c:v>0.24528301886792453</c:v>
                </c:pt>
                <c:pt idx="1">
                  <c:v>0.75471698113207553</c:v>
                </c:pt>
              </c:numCache>
            </c:numRef>
          </c:val>
          <c:extLst>
            <c:ext xmlns:c16="http://schemas.microsoft.com/office/drawing/2014/chart" uri="{C3380CC4-5D6E-409C-BE32-E72D297353CC}">
              <c16:uniqueId val="{00000004-9AF5-4DC3-A197-4F9E11918351}"/>
            </c:ext>
          </c:extLst>
        </c:ser>
        <c:dLbls>
          <c:showLegendKey val="0"/>
          <c:showVal val="0"/>
          <c:showCatName val="0"/>
          <c:showSerName val="0"/>
          <c:showPercent val="0"/>
          <c:showBubbleSize val="0"/>
          <c:showLeaderLines val="0"/>
        </c:dLbls>
        <c:firstSliceAng val="0"/>
        <c:holeSize val="50"/>
      </c:doughnutChart>
      <c:spPr>
        <a:noFill/>
        <a:ln>
          <a:noFill/>
        </a:ln>
        <a:effectLst/>
      </c:spPr>
    </c:plotArea>
    <c:legend>
      <c:legendPos val="l"/>
      <c:legendEntry>
        <c:idx val="1"/>
        <c:delete val="1"/>
      </c:legendEntry>
      <c:layout>
        <c:manualLayout>
          <c:xMode val="edge"/>
          <c:yMode val="edge"/>
          <c:x val="5.7327016476743806E-2"/>
          <c:y val="0.29087541917013648"/>
          <c:w val="0.27703290057408758"/>
          <c:h val="0.42746751847434872"/>
        </c:manualLayout>
      </c:layout>
      <c:overlay val="0"/>
      <c:spPr>
        <a:noFill/>
        <a:ln>
          <a:noFill/>
        </a:ln>
        <a:effectLst/>
      </c:spPr>
      <c:txPr>
        <a:bodyPr rot="0" spcFirstLastPara="1" vertOverflow="ellipsis" vert="horz" wrap="square" anchor="ctr" anchorCtr="1"/>
        <a:lstStyle/>
        <a:p>
          <a:pPr rtl="0">
            <a:defRPr sz="105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legend>
    <c:plotVisOnly val="1"/>
    <c:dispBlanksAs val="gap"/>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4"/>
          <c:order val="4"/>
          <c:tx>
            <c:strRef>
              <c:f>'Utregning av grafer'!$A$333</c:f>
              <c:strCache>
                <c:ptCount val="1"/>
                <c:pt idx="0">
                  <c:v>Total andel</c:v>
                </c:pt>
              </c:strCache>
            </c:strRef>
          </c:tx>
          <c:dPt>
            <c:idx val="0"/>
            <c:bubble3D val="0"/>
            <c:spPr>
              <a:solidFill>
                <a:srgbClr val="012A4C"/>
              </a:solidFill>
              <a:ln w="19050">
                <a:solidFill>
                  <a:schemeClr val="lt1"/>
                </a:solidFill>
              </a:ln>
              <a:effectLst/>
            </c:spPr>
            <c:extLst>
              <c:ext xmlns:c16="http://schemas.microsoft.com/office/drawing/2014/chart" uri="{C3380CC4-5D6E-409C-BE32-E72D297353CC}">
                <c16:uniqueId val="{00000001-FAA4-48FC-8E73-38DDA5C1B717}"/>
              </c:ext>
            </c:extLst>
          </c:dPt>
          <c:dPt>
            <c:idx val="1"/>
            <c:bubble3D val="0"/>
            <c:spPr>
              <a:solidFill>
                <a:srgbClr val="009FE3"/>
              </a:solidFill>
              <a:ln w="19050">
                <a:solidFill>
                  <a:schemeClr val="lt1"/>
                </a:solidFill>
              </a:ln>
              <a:effectLst/>
            </c:spPr>
            <c:extLst>
              <c:ext xmlns:c16="http://schemas.microsoft.com/office/drawing/2014/chart" uri="{C3380CC4-5D6E-409C-BE32-E72D297353CC}">
                <c16:uniqueId val="{00000003-FAA4-48FC-8E73-38DDA5C1B717}"/>
              </c:ext>
            </c:extLst>
          </c:dPt>
          <c:dPt>
            <c:idx val="2"/>
            <c:bubble3D val="0"/>
            <c:spPr>
              <a:solidFill>
                <a:srgbClr val="D1D1D1"/>
              </a:solidFill>
              <a:ln w="19050">
                <a:solidFill>
                  <a:schemeClr val="lt1"/>
                </a:solidFill>
              </a:ln>
              <a:effectLst/>
            </c:spPr>
            <c:extLst>
              <c:ext xmlns:c16="http://schemas.microsoft.com/office/drawing/2014/chart" uri="{C3380CC4-5D6E-409C-BE32-E72D297353CC}">
                <c16:uniqueId val="{00000005-FAA4-48FC-8E73-38DDA5C1B717}"/>
              </c:ext>
            </c:extLst>
          </c:dPt>
          <c:dLbls>
            <c:dLbl>
              <c:idx val="2"/>
              <c:delete val="1"/>
              <c:extLst>
                <c:ext xmlns:c15="http://schemas.microsoft.com/office/drawing/2012/chart" uri="{CE6537A1-D6FC-4f65-9D91-7224C49458BB}"/>
                <c:ext xmlns:c16="http://schemas.microsoft.com/office/drawing/2014/chart" uri="{C3380CC4-5D6E-409C-BE32-E72D297353CC}">
                  <c16:uniqueId val="{00000005-FAA4-48FC-8E73-38DDA5C1B717}"/>
                </c:ext>
              </c:extLst>
            </c:dLbl>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'Utregning av grafer'!$B$328:$E$328</c15:sqref>
                  </c15:fullRef>
                </c:ext>
              </c:extLst>
              <c:f>'Utregning av grafer'!$B$328:$D$328</c:f>
              <c:strCache>
                <c:ptCount val="3"/>
                <c:pt idx="0">
                  <c:v>Har stilt krav til menneskerettigheter</c:v>
                </c:pt>
                <c:pt idx="1">
                  <c:v>Har brukt Kriterieveiviserens krav til menneskerettigheter</c:v>
                </c:pt>
                <c:pt idx="2">
                  <c:v>Nei </c:v>
                </c:pt>
              </c:strCache>
            </c:strRef>
          </c:cat>
          <c:val>
            <c:numRef>
              <c:extLst>
                <c:ext xmlns:c15="http://schemas.microsoft.com/office/drawing/2012/chart" uri="{02D57815-91ED-43cb-92C2-25804820EDAC}">
                  <c15:fullRef>
                    <c15:sqref>'Utregning av grafer'!$B$333:$E$333</c15:sqref>
                  </c15:fullRef>
                </c:ext>
              </c:extLst>
              <c:f>'Utregning av grafer'!$B$333:$D$333</c:f>
              <c:numCache>
                <c:formatCode>0%</c:formatCode>
                <c:ptCount val="3"/>
                <c:pt idx="0">
                  <c:v>0.62264150943396224</c:v>
                </c:pt>
                <c:pt idx="1">
                  <c:v>0.11320754716981132</c:v>
                </c:pt>
                <c:pt idx="2">
                  <c:v>0.26415094339622641</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6-FAA4-48FC-8E73-38DDA5C1B717}"/>
            </c:ext>
          </c:extLst>
        </c:ser>
        <c:dLbls>
          <c:showLegendKey val="0"/>
          <c:showVal val="0"/>
          <c:showCatName val="0"/>
          <c:showSerName val="0"/>
          <c:showPercent val="0"/>
          <c:showBubbleSize val="0"/>
          <c:showLeaderLines val="1"/>
        </c:dLbls>
        <c:firstSliceAng val="0"/>
        <c:holeSize val="50"/>
        <c:extLst>
          <c:ext xmlns:c15="http://schemas.microsoft.com/office/drawing/2012/chart" uri="{02D57815-91ED-43cb-92C2-25804820EDAC}">
            <c15:filteredPieSeries>
              <c15:ser>
                <c:idx val="0"/>
                <c:order val="0"/>
                <c:tx>
                  <c:strRef>
                    <c:extLst>
                      <c:ext uri="{02D57815-91ED-43cb-92C2-25804820EDAC}">
                        <c15:formulaRef>
                          <c15:sqref>'Utregning av grafer'!$A$329</c15:sqref>
                        </c15:formulaRef>
                      </c:ext>
                    </c:extLst>
                    <c:strCache>
                      <c:ptCount val="1"/>
                      <c:pt idx="0">
                        <c:v>Statlig virksomhet</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8-FAA4-48FC-8E73-38DDA5C1B717}"/>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A-FAA4-48FC-8E73-38DDA5C1B717}"/>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C-FAA4-48FC-8E73-38DDA5C1B717}"/>
                    </c:ext>
                  </c:extLst>
                </c:dPt>
                <c:cat>
                  <c:strRef>
                    <c:extLst>
                      <c:ext uri="{02D57815-91ED-43cb-92C2-25804820EDAC}">
                        <c15:fullRef>
                          <c15:sqref>'Utregning av grafer'!$B$328:$E$328</c15:sqref>
                        </c15:fullRef>
                        <c15:formulaRef>
                          <c15:sqref>'Utregning av grafer'!$B$328:$D$328</c15:sqref>
                        </c15:formulaRef>
                      </c:ext>
                    </c:extLst>
                    <c:strCache>
                      <c:ptCount val="3"/>
                      <c:pt idx="0">
                        <c:v>Har stilt krav til menneskerettigheter</c:v>
                      </c:pt>
                      <c:pt idx="1">
                        <c:v>Har brukt Kriterieveiviserens krav til menneskerettigheter</c:v>
                      </c:pt>
                      <c:pt idx="2">
                        <c:v>Nei </c:v>
                      </c:pt>
                    </c:strCache>
                  </c:strRef>
                </c:cat>
                <c:val>
                  <c:numRef>
                    <c:extLst>
                      <c:ext uri="{02D57815-91ED-43cb-92C2-25804820EDAC}">
                        <c15:fullRef>
                          <c15:sqref>'Utregning av grafer'!$B$329:$E$329</c15:sqref>
                        </c15:fullRef>
                        <c15:formulaRef>
                          <c15:sqref>'Utregning av grafer'!$B$329:$D$329</c15:sqref>
                        </c15:formulaRef>
                      </c:ext>
                    </c:extLst>
                    <c:numCache>
                      <c:formatCode>General</c:formatCode>
                      <c:ptCount val="3"/>
                      <c:pt idx="0">
                        <c:v>16</c:v>
                      </c:pt>
                      <c:pt idx="1">
                        <c:v>4</c:v>
                      </c:pt>
                      <c:pt idx="2">
                        <c:v>6</c:v>
                      </c:pt>
                    </c:numCache>
                  </c:numRef>
                </c:val>
                <c:extLst>
                  <c:ext uri="{02D57815-91ED-43cb-92C2-25804820EDAC}">
                    <c15:categoryFilterExceptions/>
                  </c:ext>
                  <c:ext xmlns:c16="http://schemas.microsoft.com/office/drawing/2014/chart" uri="{C3380CC4-5D6E-409C-BE32-E72D297353CC}">
                    <c16:uniqueId val="{0000000D-FAA4-48FC-8E73-38DDA5C1B717}"/>
                  </c:ext>
                </c:extLst>
              </c15:ser>
            </c15:filteredPieSeries>
            <c15:filteredPieSeries>
              <c15:ser>
                <c:idx val="1"/>
                <c:order val="1"/>
                <c:tx>
                  <c:strRef>
                    <c:extLst xmlns:c15="http://schemas.microsoft.com/office/drawing/2012/chart">
                      <c:ext xmlns:c15="http://schemas.microsoft.com/office/drawing/2012/chart" uri="{02D57815-91ED-43cb-92C2-25804820EDAC}">
                        <c15:formulaRef>
                          <c15:sqref>'Utregning av grafer'!$A$330</c15:sqref>
                        </c15:formulaRef>
                      </c:ext>
                    </c:extLst>
                    <c:strCache>
                      <c:ptCount val="1"/>
                      <c:pt idx="0">
                        <c:v>Kommune </c:v>
                      </c:pt>
                    </c:strCache>
                  </c:strRef>
                </c:tx>
                <c:dPt>
                  <c:idx val="0"/>
                  <c:bubble3D val="0"/>
                  <c:spPr>
                    <a:solidFill>
                      <a:schemeClr val="accent1"/>
                    </a:solidFill>
                    <a:ln w="19050">
                      <a:solidFill>
                        <a:schemeClr val="lt1"/>
                      </a:solidFill>
                    </a:ln>
                    <a:effectLst/>
                  </c:spPr>
                  <c:extLst xmlns:c15="http://schemas.microsoft.com/office/drawing/2012/chart">
                    <c:ext xmlns:c16="http://schemas.microsoft.com/office/drawing/2014/chart" uri="{C3380CC4-5D6E-409C-BE32-E72D297353CC}">
                      <c16:uniqueId val="{0000000F-FAA4-48FC-8E73-38DDA5C1B717}"/>
                    </c:ext>
                  </c:extLst>
                </c:dPt>
                <c:dPt>
                  <c:idx val="1"/>
                  <c:bubble3D val="0"/>
                  <c:spPr>
                    <a:solidFill>
                      <a:schemeClr val="accent2"/>
                    </a:solidFill>
                    <a:ln w="19050">
                      <a:solidFill>
                        <a:schemeClr val="lt1"/>
                      </a:solidFill>
                    </a:ln>
                    <a:effectLst/>
                  </c:spPr>
                  <c:extLst xmlns:c15="http://schemas.microsoft.com/office/drawing/2012/chart">
                    <c:ext xmlns:c16="http://schemas.microsoft.com/office/drawing/2014/chart" uri="{C3380CC4-5D6E-409C-BE32-E72D297353CC}">
                      <c16:uniqueId val="{00000011-FAA4-48FC-8E73-38DDA5C1B717}"/>
                    </c:ext>
                  </c:extLst>
                </c:dPt>
                <c:dPt>
                  <c:idx val="2"/>
                  <c:bubble3D val="0"/>
                  <c:spPr>
                    <a:solidFill>
                      <a:schemeClr val="accent3"/>
                    </a:solidFill>
                    <a:ln w="19050">
                      <a:solidFill>
                        <a:schemeClr val="lt1"/>
                      </a:solidFill>
                    </a:ln>
                    <a:effectLst/>
                  </c:spPr>
                  <c:extLst xmlns:c15="http://schemas.microsoft.com/office/drawing/2012/chart">
                    <c:ext xmlns:c16="http://schemas.microsoft.com/office/drawing/2014/chart" uri="{C3380CC4-5D6E-409C-BE32-E72D297353CC}">
                      <c16:uniqueId val="{00000013-FAA4-48FC-8E73-38DDA5C1B717}"/>
                    </c:ext>
                  </c:extLst>
                </c:dPt>
                <c:cat>
                  <c:strRef>
                    <c:extLst>
                      <c:ext xmlns:c15="http://schemas.microsoft.com/office/drawing/2012/chart" uri="{02D57815-91ED-43cb-92C2-25804820EDAC}">
                        <c15:fullRef>
                          <c15:sqref>'Utregning av grafer'!$B$328:$E$328</c15:sqref>
                        </c15:fullRef>
                        <c15:formulaRef>
                          <c15:sqref>'Utregning av grafer'!$B$328:$D$328</c15:sqref>
                        </c15:formulaRef>
                      </c:ext>
                    </c:extLst>
                    <c:strCache>
                      <c:ptCount val="3"/>
                      <c:pt idx="0">
                        <c:v>Har stilt krav til menneskerettigheter</c:v>
                      </c:pt>
                      <c:pt idx="1">
                        <c:v>Har brukt Kriterieveiviserens krav til menneskerettigheter</c:v>
                      </c:pt>
                      <c:pt idx="2">
                        <c:v>Nei </c:v>
                      </c:pt>
                    </c:strCache>
                  </c:strRef>
                </c:cat>
                <c:val>
                  <c:numRef>
                    <c:extLst>
                      <c:ext xmlns:c15="http://schemas.microsoft.com/office/drawing/2012/chart" uri="{02D57815-91ED-43cb-92C2-25804820EDAC}">
                        <c15:fullRef>
                          <c15:sqref>'Utregning av grafer'!$B$330:$E$330</c15:sqref>
                        </c15:fullRef>
                        <c15:formulaRef>
                          <c15:sqref>'Utregning av grafer'!$B$330:$D$330</c15:sqref>
                        </c15:formulaRef>
                      </c:ext>
                    </c:extLst>
                    <c:numCache>
                      <c:formatCode>General</c:formatCode>
                      <c:ptCount val="3"/>
                      <c:pt idx="0">
                        <c:v>15</c:v>
                      </c:pt>
                      <c:pt idx="1">
                        <c:v>2</c:v>
                      </c:pt>
                      <c:pt idx="2">
                        <c:v>7</c:v>
                      </c:pt>
                    </c:numCache>
                  </c:numRef>
                </c:val>
                <c:extLst xmlns:c15="http://schemas.microsoft.com/office/drawing/2012/chart">
                  <c:ext xmlns:c15="http://schemas.microsoft.com/office/drawing/2012/chart" uri="{02D57815-91ED-43cb-92C2-25804820EDAC}">
                    <c15:categoryFilterExceptions/>
                  </c:ext>
                  <c:ext xmlns:c16="http://schemas.microsoft.com/office/drawing/2014/chart" uri="{C3380CC4-5D6E-409C-BE32-E72D297353CC}">
                    <c16:uniqueId val="{00000014-FAA4-48FC-8E73-38DDA5C1B717}"/>
                  </c:ext>
                </c:extLst>
              </c15:ser>
            </c15:filteredPieSeries>
            <c15:filteredPieSeries>
              <c15:ser>
                <c:idx val="2"/>
                <c:order val="2"/>
                <c:tx>
                  <c:strRef>
                    <c:extLst xmlns:c15="http://schemas.microsoft.com/office/drawing/2012/chart">
                      <c:ext xmlns:c15="http://schemas.microsoft.com/office/drawing/2012/chart" uri="{02D57815-91ED-43cb-92C2-25804820EDAC}">
                        <c15:formulaRef>
                          <c15:sqref>'Utregning av grafer'!$A$331</c15:sqref>
                        </c15:formulaRef>
                      </c:ext>
                    </c:extLst>
                    <c:strCache>
                      <c:ptCount val="1"/>
                      <c:pt idx="0">
                        <c:v>Fylkeskommune</c:v>
                      </c:pt>
                    </c:strCache>
                  </c:strRef>
                </c:tx>
                <c:dPt>
                  <c:idx val="0"/>
                  <c:bubble3D val="0"/>
                  <c:spPr>
                    <a:solidFill>
                      <a:schemeClr val="accent1"/>
                    </a:solidFill>
                    <a:ln w="19050">
                      <a:solidFill>
                        <a:schemeClr val="lt1"/>
                      </a:solidFill>
                    </a:ln>
                    <a:effectLst/>
                  </c:spPr>
                  <c:extLst xmlns:c15="http://schemas.microsoft.com/office/drawing/2012/chart">
                    <c:ext xmlns:c16="http://schemas.microsoft.com/office/drawing/2014/chart" uri="{C3380CC4-5D6E-409C-BE32-E72D297353CC}">
                      <c16:uniqueId val="{00000016-FAA4-48FC-8E73-38DDA5C1B717}"/>
                    </c:ext>
                  </c:extLst>
                </c:dPt>
                <c:dPt>
                  <c:idx val="1"/>
                  <c:bubble3D val="0"/>
                  <c:spPr>
                    <a:solidFill>
                      <a:schemeClr val="accent2"/>
                    </a:solidFill>
                    <a:ln w="19050">
                      <a:solidFill>
                        <a:schemeClr val="lt1"/>
                      </a:solidFill>
                    </a:ln>
                    <a:effectLst/>
                  </c:spPr>
                  <c:extLst xmlns:c15="http://schemas.microsoft.com/office/drawing/2012/chart">
                    <c:ext xmlns:c16="http://schemas.microsoft.com/office/drawing/2014/chart" uri="{C3380CC4-5D6E-409C-BE32-E72D297353CC}">
                      <c16:uniqueId val="{00000018-FAA4-48FC-8E73-38DDA5C1B717}"/>
                    </c:ext>
                  </c:extLst>
                </c:dPt>
                <c:dPt>
                  <c:idx val="2"/>
                  <c:bubble3D val="0"/>
                  <c:spPr>
                    <a:solidFill>
                      <a:schemeClr val="accent3"/>
                    </a:solidFill>
                    <a:ln w="19050">
                      <a:solidFill>
                        <a:schemeClr val="lt1"/>
                      </a:solidFill>
                    </a:ln>
                    <a:effectLst/>
                  </c:spPr>
                  <c:extLst xmlns:c15="http://schemas.microsoft.com/office/drawing/2012/chart">
                    <c:ext xmlns:c16="http://schemas.microsoft.com/office/drawing/2014/chart" uri="{C3380CC4-5D6E-409C-BE32-E72D297353CC}">
                      <c16:uniqueId val="{0000001A-FAA4-48FC-8E73-38DDA5C1B717}"/>
                    </c:ext>
                  </c:extLst>
                </c:dPt>
                <c:cat>
                  <c:strRef>
                    <c:extLst>
                      <c:ext xmlns:c15="http://schemas.microsoft.com/office/drawing/2012/chart" uri="{02D57815-91ED-43cb-92C2-25804820EDAC}">
                        <c15:fullRef>
                          <c15:sqref>'Utregning av grafer'!$B$328:$E$328</c15:sqref>
                        </c15:fullRef>
                        <c15:formulaRef>
                          <c15:sqref>'Utregning av grafer'!$B$328:$D$328</c15:sqref>
                        </c15:formulaRef>
                      </c:ext>
                    </c:extLst>
                    <c:strCache>
                      <c:ptCount val="3"/>
                      <c:pt idx="0">
                        <c:v>Har stilt krav til menneskerettigheter</c:v>
                      </c:pt>
                      <c:pt idx="1">
                        <c:v>Har brukt Kriterieveiviserens krav til menneskerettigheter</c:v>
                      </c:pt>
                      <c:pt idx="2">
                        <c:v>Nei </c:v>
                      </c:pt>
                    </c:strCache>
                  </c:strRef>
                </c:cat>
                <c:val>
                  <c:numRef>
                    <c:extLst>
                      <c:ext xmlns:c15="http://schemas.microsoft.com/office/drawing/2012/chart" uri="{02D57815-91ED-43cb-92C2-25804820EDAC}">
                        <c15:fullRef>
                          <c15:sqref>'Utregning av grafer'!$B$331:$E$331</c15:sqref>
                        </c15:fullRef>
                        <c15:formulaRef>
                          <c15:sqref>'Utregning av grafer'!$B$331:$D$331</c15:sqref>
                        </c15:formulaRef>
                      </c:ext>
                    </c:extLst>
                    <c:numCache>
                      <c:formatCode>General</c:formatCode>
                      <c:ptCount val="3"/>
                      <c:pt idx="0">
                        <c:v>2</c:v>
                      </c:pt>
                      <c:pt idx="1">
                        <c:v>0</c:v>
                      </c:pt>
                      <c:pt idx="2">
                        <c:v>1</c:v>
                      </c:pt>
                    </c:numCache>
                  </c:numRef>
                </c:val>
                <c:extLst xmlns:c15="http://schemas.microsoft.com/office/drawing/2012/chart">
                  <c:ext xmlns:c15="http://schemas.microsoft.com/office/drawing/2012/chart" uri="{02D57815-91ED-43cb-92C2-25804820EDAC}">
                    <c15:categoryFilterExceptions/>
                  </c:ext>
                  <c:ext xmlns:c16="http://schemas.microsoft.com/office/drawing/2014/chart" uri="{C3380CC4-5D6E-409C-BE32-E72D297353CC}">
                    <c16:uniqueId val="{0000001B-FAA4-48FC-8E73-38DDA5C1B717}"/>
                  </c:ext>
                </c:extLst>
              </c15:ser>
            </c15:filteredPieSeries>
            <c15:filteredPieSeries>
              <c15:ser>
                <c:idx val="3"/>
                <c:order val="3"/>
                <c:tx>
                  <c:strRef>
                    <c:extLst xmlns:c15="http://schemas.microsoft.com/office/drawing/2012/chart">
                      <c:ext xmlns:c15="http://schemas.microsoft.com/office/drawing/2012/chart" uri="{02D57815-91ED-43cb-92C2-25804820EDAC}">
                        <c15:formulaRef>
                          <c15:sqref>'Utregning av grafer'!$A$332</c15:sqref>
                        </c15:formulaRef>
                      </c:ext>
                    </c:extLst>
                    <c:strCache>
                      <c:ptCount val="1"/>
                      <c:pt idx="0">
                        <c:v>Totalt</c:v>
                      </c:pt>
                    </c:strCache>
                  </c:strRef>
                </c:tx>
                <c:dPt>
                  <c:idx val="0"/>
                  <c:bubble3D val="0"/>
                  <c:spPr>
                    <a:solidFill>
                      <a:schemeClr val="accent1"/>
                    </a:solidFill>
                    <a:ln w="19050">
                      <a:solidFill>
                        <a:schemeClr val="lt1"/>
                      </a:solidFill>
                    </a:ln>
                    <a:effectLst/>
                  </c:spPr>
                  <c:extLst xmlns:c15="http://schemas.microsoft.com/office/drawing/2012/chart">
                    <c:ext xmlns:c16="http://schemas.microsoft.com/office/drawing/2014/chart" uri="{C3380CC4-5D6E-409C-BE32-E72D297353CC}">
                      <c16:uniqueId val="{0000001D-FAA4-48FC-8E73-38DDA5C1B717}"/>
                    </c:ext>
                  </c:extLst>
                </c:dPt>
                <c:dPt>
                  <c:idx val="1"/>
                  <c:bubble3D val="0"/>
                  <c:spPr>
                    <a:solidFill>
                      <a:schemeClr val="accent2"/>
                    </a:solidFill>
                    <a:ln w="19050">
                      <a:solidFill>
                        <a:schemeClr val="lt1"/>
                      </a:solidFill>
                    </a:ln>
                    <a:effectLst/>
                  </c:spPr>
                  <c:extLst xmlns:c15="http://schemas.microsoft.com/office/drawing/2012/chart">
                    <c:ext xmlns:c16="http://schemas.microsoft.com/office/drawing/2014/chart" uri="{C3380CC4-5D6E-409C-BE32-E72D297353CC}">
                      <c16:uniqueId val="{0000001F-FAA4-48FC-8E73-38DDA5C1B717}"/>
                    </c:ext>
                  </c:extLst>
                </c:dPt>
                <c:dPt>
                  <c:idx val="2"/>
                  <c:bubble3D val="0"/>
                  <c:spPr>
                    <a:solidFill>
                      <a:schemeClr val="accent3"/>
                    </a:solidFill>
                    <a:ln w="19050">
                      <a:solidFill>
                        <a:schemeClr val="lt1"/>
                      </a:solidFill>
                    </a:ln>
                    <a:effectLst/>
                  </c:spPr>
                  <c:extLst xmlns:c15="http://schemas.microsoft.com/office/drawing/2012/chart">
                    <c:ext xmlns:c16="http://schemas.microsoft.com/office/drawing/2014/chart" uri="{C3380CC4-5D6E-409C-BE32-E72D297353CC}">
                      <c16:uniqueId val="{00000021-FAA4-48FC-8E73-38DDA5C1B717}"/>
                    </c:ext>
                  </c:extLst>
                </c:dPt>
                <c:cat>
                  <c:strRef>
                    <c:extLst>
                      <c:ext xmlns:c15="http://schemas.microsoft.com/office/drawing/2012/chart" uri="{02D57815-91ED-43cb-92C2-25804820EDAC}">
                        <c15:fullRef>
                          <c15:sqref>'Utregning av grafer'!$B$328:$E$328</c15:sqref>
                        </c15:fullRef>
                        <c15:formulaRef>
                          <c15:sqref>'Utregning av grafer'!$B$328:$D$328</c15:sqref>
                        </c15:formulaRef>
                      </c:ext>
                    </c:extLst>
                    <c:strCache>
                      <c:ptCount val="3"/>
                      <c:pt idx="0">
                        <c:v>Har stilt krav til menneskerettigheter</c:v>
                      </c:pt>
                      <c:pt idx="1">
                        <c:v>Har brukt Kriterieveiviserens krav til menneskerettigheter</c:v>
                      </c:pt>
                      <c:pt idx="2">
                        <c:v>Nei </c:v>
                      </c:pt>
                    </c:strCache>
                  </c:strRef>
                </c:cat>
                <c:val>
                  <c:numRef>
                    <c:extLst>
                      <c:ext xmlns:c15="http://schemas.microsoft.com/office/drawing/2012/chart" uri="{02D57815-91ED-43cb-92C2-25804820EDAC}">
                        <c15:fullRef>
                          <c15:sqref>'Utregning av grafer'!$B$332:$E$332</c15:sqref>
                        </c15:fullRef>
                        <c15:formulaRef>
                          <c15:sqref>'Utregning av grafer'!$B$332:$D$332</c15:sqref>
                        </c15:formulaRef>
                      </c:ext>
                    </c:extLst>
                    <c:numCache>
                      <c:formatCode>General</c:formatCode>
                      <c:ptCount val="3"/>
                      <c:pt idx="0">
                        <c:v>33</c:v>
                      </c:pt>
                      <c:pt idx="1">
                        <c:v>6</c:v>
                      </c:pt>
                      <c:pt idx="2">
                        <c:v>14</c:v>
                      </c:pt>
                    </c:numCache>
                  </c:numRef>
                </c:val>
                <c:extLst xmlns:c15="http://schemas.microsoft.com/office/drawing/2012/chart">
                  <c:ext xmlns:c15="http://schemas.microsoft.com/office/drawing/2012/chart" uri="{02D57815-91ED-43cb-92C2-25804820EDAC}">
                    <c15:categoryFilterExceptions/>
                  </c:ext>
                  <c:ext xmlns:c16="http://schemas.microsoft.com/office/drawing/2014/chart" uri="{C3380CC4-5D6E-409C-BE32-E72D297353CC}">
                    <c16:uniqueId val="{00000022-FAA4-48FC-8E73-38DDA5C1B717}"/>
                  </c:ext>
                </c:extLst>
              </c15:ser>
            </c15:filteredPieSeries>
          </c:ext>
        </c:extLst>
      </c:doughnutChart>
      <c:spPr>
        <a:noFill/>
        <a:ln>
          <a:noFill/>
        </a:ln>
        <a:effectLst/>
      </c:spPr>
    </c:plotArea>
    <c:legend>
      <c:legendPos val="l"/>
      <c:legendEntry>
        <c:idx val="2"/>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012A4C"/>
            </a:solidFill>
          </c:spPr>
          <c:dPt>
            <c:idx val="0"/>
            <c:bubble3D val="0"/>
            <c:spPr>
              <a:solidFill>
                <a:srgbClr val="012A4C"/>
              </a:solidFill>
              <a:ln w="19050">
                <a:solidFill>
                  <a:schemeClr val="lt1"/>
                </a:solidFill>
              </a:ln>
              <a:effectLst/>
            </c:spPr>
            <c:extLst>
              <c:ext xmlns:c16="http://schemas.microsoft.com/office/drawing/2014/chart" uri="{C3380CC4-5D6E-409C-BE32-E72D297353CC}">
                <c16:uniqueId val="{00000001-5E12-44D4-B556-01EE6C3A394F}"/>
              </c:ext>
            </c:extLst>
          </c:dPt>
          <c:dPt>
            <c:idx val="1"/>
            <c:bubble3D val="0"/>
            <c:spPr>
              <a:solidFill>
                <a:srgbClr val="D1D1D1"/>
              </a:solidFill>
              <a:ln w="19050">
                <a:solidFill>
                  <a:schemeClr val="lt1"/>
                </a:solidFill>
              </a:ln>
              <a:effectLst/>
            </c:spPr>
            <c:extLst>
              <c:ext xmlns:c16="http://schemas.microsoft.com/office/drawing/2014/chart" uri="{C3380CC4-5D6E-409C-BE32-E72D297353CC}">
                <c16:uniqueId val="{00000003-5E12-44D4-B556-01EE6C3A394F}"/>
              </c:ext>
            </c:extLst>
          </c:dPt>
          <c:dLbls>
            <c:dLbl>
              <c:idx val="0"/>
              <c:layout>
                <c:manualLayout>
                  <c:x val="-0.17382043781570508"/>
                  <c:y val="-5.7847245835032902E-2"/>
                </c:manualLayout>
              </c:layout>
              <c:spPr>
                <a:solidFill>
                  <a:srgbClr val="EFEFEF"/>
                </a:solidFill>
                <a:ln>
                  <a:solidFill>
                    <a:srgbClr val="EFEFEF"/>
                  </a:solidFill>
                </a:ln>
                <a:effectLst/>
              </c:spPr>
              <c:txPr>
                <a:bodyPr rot="0" spcFirstLastPara="1" vertOverflow="clip" horzOverflow="clip" vert="horz" wrap="square" lIns="38100" tIns="19050" rIns="38100" bIns="19050" anchor="ctr" anchorCtr="1">
                  <a:no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ellipse">
                      <a:avLst/>
                    </a:prstGeom>
                    <a:noFill/>
                    <a:ln>
                      <a:noFill/>
                    </a:ln>
                  </c15:spPr>
                  <c15:layout>
                    <c:manualLayout>
                      <c:w val="0.18335676518944771"/>
                      <c:h val="0.15917627515013452"/>
                    </c:manualLayout>
                  </c15:layout>
                </c:ext>
                <c:ext xmlns:c16="http://schemas.microsoft.com/office/drawing/2014/chart" uri="{C3380CC4-5D6E-409C-BE32-E72D297353CC}">
                  <c16:uniqueId val="{00000001-5E12-44D4-B556-01EE6C3A394F}"/>
                </c:ext>
              </c:extLst>
            </c:dLbl>
            <c:dLbl>
              <c:idx val="1"/>
              <c:delete val="1"/>
              <c:extLst>
                <c:ext xmlns:c15="http://schemas.microsoft.com/office/drawing/2012/chart" uri="{CE6537A1-D6FC-4f65-9D91-7224C49458BB}">
                  <c15:layout>
                    <c:manualLayout>
                      <c:w val="0.27826745945743964"/>
                      <c:h val="0.31296246542270384"/>
                    </c:manualLayout>
                  </c15:layout>
                </c:ext>
                <c:ext xmlns:c16="http://schemas.microsoft.com/office/drawing/2014/chart" uri="{C3380CC4-5D6E-409C-BE32-E72D297353CC}">
                  <c16:uniqueId val="{00000003-5E12-44D4-B556-01EE6C3A394F}"/>
                </c:ext>
              </c:extLst>
            </c:dLbl>
            <c:spPr>
              <a:solidFill>
                <a:srgbClr val="EFEFEF"/>
              </a:solidFill>
              <a:ln>
                <a:solidFill>
                  <a:srgbClr val="EFEFEF"/>
                </a:solidFill>
              </a:ln>
              <a:effectLst/>
            </c:spPr>
            <c:txPr>
              <a:bodyPr rot="0" spcFirstLastPara="1" vertOverflow="clip" horzOverflow="clip" vert="horz" wrap="square" lIns="38100" tIns="19050" rIns="38100" bIns="19050" anchor="ctr" anchorCtr="1">
                <a:sp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'Utregning av grafer'!$I$338:$J$338</c:f>
              <c:strCache>
                <c:ptCount val="2"/>
                <c:pt idx="0">
                  <c:v>Andel anskaffelser som har menneskerettigheter som kontraktsvilkår</c:v>
                </c:pt>
                <c:pt idx="1">
                  <c:v>Ikke stilt krav</c:v>
                </c:pt>
              </c:strCache>
            </c:strRef>
          </c:cat>
          <c:val>
            <c:numRef>
              <c:f>'Utregning av grafer'!$I$339:$J$339</c:f>
              <c:numCache>
                <c:formatCode>0%</c:formatCode>
                <c:ptCount val="2"/>
                <c:pt idx="0">
                  <c:v>0.58490566037735847</c:v>
                </c:pt>
                <c:pt idx="1">
                  <c:v>0.41509433962264153</c:v>
                </c:pt>
              </c:numCache>
            </c:numRef>
          </c:val>
          <c:extLst>
            <c:ext xmlns:c16="http://schemas.microsoft.com/office/drawing/2014/chart" uri="{C3380CC4-5D6E-409C-BE32-E72D297353CC}">
              <c16:uniqueId val="{00000004-5E12-44D4-B556-01EE6C3A394F}"/>
            </c:ext>
          </c:extLst>
        </c:ser>
        <c:dLbls>
          <c:showLegendKey val="0"/>
          <c:showVal val="0"/>
          <c:showCatName val="0"/>
          <c:showSerName val="0"/>
          <c:showPercent val="0"/>
          <c:showBubbleSize val="0"/>
          <c:showLeaderLines val="0"/>
        </c:dLbls>
        <c:firstSliceAng val="0"/>
        <c:holeSize val="50"/>
      </c:doughnutChart>
      <c:spPr>
        <a:noFill/>
        <a:ln>
          <a:noFill/>
        </a:ln>
        <a:effectLst/>
      </c:spPr>
    </c:plotArea>
    <c:legend>
      <c:legendPos val="l"/>
      <c:legendEntry>
        <c:idx val="1"/>
        <c:delete val="1"/>
      </c:legendEntry>
      <c:layout>
        <c:manualLayout>
          <c:xMode val="edge"/>
          <c:yMode val="edge"/>
          <c:x val="5.7327016476743806E-2"/>
          <c:y val="0.29087541917013648"/>
          <c:w val="0.3187963301754696"/>
          <c:h val="0.42746751847434872"/>
        </c:manualLayout>
      </c:layout>
      <c:overlay val="0"/>
      <c:spPr>
        <a:noFill/>
        <a:ln>
          <a:noFill/>
        </a:ln>
        <a:effectLst/>
      </c:spPr>
      <c:txPr>
        <a:bodyPr rot="0" spcFirstLastPara="1" vertOverflow="ellipsis" vert="horz" wrap="square" anchor="ctr" anchorCtr="1"/>
        <a:lstStyle/>
        <a:p>
          <a:pPr rtl="0">
            <a:defRPr sz="10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legend>
    <c:plotVisOnly val="1"/>
    <c:dispBlanksAs val="gap"/>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012A4C"/>
            </a:solidFill>
          </c:spPr>
          <c:dPt>
            <c:idx val="0"/>
            <c:bubble3D val="0"/>
            <c:spPr>
              <a:solidFill>
                <a:srgbClr val="012A4C"/>
              </a:solidFill>
              <a:ln w="19050">
                <a:solidFill>
                  <a:schemeClr val="lt1"/>
                </a:solidFill>
              </a:ln>
              <a:effectLst/>
            </c:spPr>
            <c:extLst>
              <c:ext xmlns:c16="http://schemas.microsoft.com/office/drawing/2014/chart" uri="{C3380CC4-5D6E-409C-BE32-E72D297353CC}">
                <c16:uniqueId val="{00000001-6E6D-41F2-B240-85FFE7E025AE}"/>
              </c:ext>
            </c:extLst>
          </c:dPt>
          <c:dPt>
            <c:idx val="1"/>
            <c:bubble3D val="0"/>
            <c:spPr>
              <a:solidFill>
                <a:srgbClr val="D1D1D1"/>
              </a:solidFill>
              <a:ln w="19050">
                <a:solidFill>
                  <a:schemeClr val="lt1"/>
                </a:solidFill>
              </a:ln>
              <a:effectLst/>
            </c:spPr>
            <c:extLst>
              <c:ext xmlns:c16="http://schemas.microsoft.com/office/drawing/2014/chart" uri="{C3380CC4-5D6E-409C-BE32-E72D297353CC}">
                <c16:uniqueId val="{00000003-6E6D-41F2-B240-85FFE7E025AE}"/>
              </c:ext>
            </c:extLst>
          </c:dPt>
          <c:dLbls>
            <c:dLbl>
              <c:idx val="0"/>
              <c:layout>
                <c:manualLayout>
                  <c:x val="-8.1941094181917598E-2"/>
                  <c:y val="0.25060352680570619"/>
                </c:manualLayout>
              </c:layout>
              <c:spPr>
                <a:solidFill>
                  <a:srgbClr val="EFEFEF"/>
                </a:solidFill>
                <a:ln>
                  <a:solidFill>
                    <a:srgbClr val="EFEFEF"/>
                  </a:solidFill>
                </a:ln>
                <a:effectLst/>
              </c:spPr>
              <c:txPr>
                <a:bodyPr rot="0" spcFirstLastPara="1" vertOverflow="clip" horzOverflow="clip" vert="horz" wrap="square" lIns="38100" tIns="19050" rIns="38100" bIns="19050" anchor="ctr" anchorCtr="1">
                  <a:no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ellipse">
                      <a:avLst/>
                    </a:prstGeom>
                    <a:noFill/>
                    <a:ln>
                      <a:noFill/>
                    </a:ln>
                  </c15:spPr>
                  <c15:layout>
                    <c:manualLayout>
                      <c:w val="0.18335676518944771"/>
                      <c:h val="0.15917627515013452"/>
                    </c:manualLayout>
                  </c15:layout>
                </c:ext>
                <c:ext xmlns:c16="http://schemas.microsoft.com/office/drawing/2014/chart" uri="{C3380CC4-5D6E-409C-BE32-E72D297353CC}">
                  <c16:uniqueId val="{00000001-6E6D-41F2-B240-85FFE7E025AE}"/>
                </c:ext>
              </c:extLst>
            </c:dLbl>
            <c:dLbl>
              <c:idx val="1"/>
              <c:delete val="1"/>
              <c:extLst>
                <c:ext xmlns:c15="http://schemas.microsoft.com/office/drawing/2012/chart" uri="{CE6537A1-D6FC-4f65-9D91-7224C49458BB}">
                  <c15:layout>
                    <c:manualLayout>
                      <c:w val="0.27826745945743964"/>
                      <c:h val="0.31296246542270384"/>
                    </c:manualLayout>
                  </c15:layout>
                </c:ext>
                <c:ext xmlns:c16="http://schemas.microsoft.com/office/drawing/2014/chart" uri="{C3380CC4-5D6E-409C-BE32-E72D297353CC}">
                  <c16:uniqueId val="{00000003-6E6D-41F2-B240-85FFE7E025AE}"/>
                </c:ext>
              </c:extLst>
            </c:dLbl>
            <c:spPr>
              <a:solidFill>
                <a:srgbClr val="EFEFEF"/>
              </a:solidFill>
              <a:ln>
                <a:solidFill>
                  <a:srgbClr val="EFEFEF"/>
                </a:solidFill>
              </a:ln>
              <a:effectLst/>
            </c:spPr>
            <c:txPr>
              <a:bodyPr rot="0" spcFirstLastPara="1" vertOverflow="clip" horzOverflow="clip" vert="horz" wrap="square" lIns="38100" tIns="19050" rIns="38100" bIns="19050" anchor="ctr" anchorCtr="1">
                <a:sp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'Utregning av grafer'!$I$346:$J$346</c:f>
              <c:strCache>
                <c:ptCount val="2"/>
                <c:pt idx="0">
                  <c:v>Andel anskaffelser som har menneskerettigheter som kvalifikasjonskrav</c:v>
                </c:pt>
                <c:pt idx="1">
                  <c:v>Ikke stilt krav</c:v>
                </c:pt>
              </c:strCache>
            </c:strRef>
          </c:cat>
          <c:val>
            <c:numRef>
              <c:f>'Utregning av grafer'!$I$347:$J$347</c:f>
              <c:numCache>
                <c:formatCode>0%</c:formatCode>
                <c:ptCount val="2"/>
                <c:pt idx="0">
                  <c:v>0.15094339622641509</c:v>
                </c:pt>
                <c:pt idx="1">
                  <c:v>0.84905660377358494</c:v>
                </c:pt>
              </c:numCache>
            </c:numRef>
          </c:val>
          <c:extLst>
            <c:ext xmlns:c16="http://schemas.microsoft.com/office/drawing/2014/chart" uri="{C3380CC4-5D6E-409C-BE32-E72D297353CC}">
              <c16:uniqueId val="{00000004-6E6D-41F2-B240-85FFE7E025AE}"/>
            </c:ext>
          </c:extLst>
        </c:ser>
        <c:dLbls>
          <c:showLegendKey val="0"/>
          <c:showVal val="0"/>
          <c:showCatName val="0"/>
          <c:showSerName val="0"/>
          <c:showPercent val="0"/>
          <c:showBubbleSize val="0"/>
          <c:showLeaderLines val="0"/>
        </c:dLbls>
        <c:firstSliceAng val="0"/>
        <c:holeSize val="50"/>
      </c:doughnutChart>
      <c:spPr>
        <a:noFill/>
        <a:ln>
          <a:noFill/>
        </a:ln>
        <a:effectLst/>
      </c:spPr>
    </c:plotArea>
    <c:legend>
      <c:legendPos val="l"/>
      <c:legendEntry>
        <c:idx val="1"/>
        <c:delete val="1"/>
      </c:legendEntry>
      <c:layout>
        <c:manualLayout>
          <c:xMode val="edge"/>
          <c:yMode val="edge"/>
          <c:x val="5.7327016476743806E-2"/>
          <c:y val="0.29087541917013648"/>
          <c:w val="0.33271744284725557"/>
          <c:h val="0.42746751847434872"/>
        </c:manualLayout>
      </c:layout>
      <c:overlay val="0"/>
      <c:spPr>
        <a:noFill/>
        <a:ln>
          <a:noFill/>
        </a:ln>
        <a:effectLst/>
      </c:spPr>
      <c:txPr>
        <a:bodyPr rot="0" spcFirstLastPara="1" vertOverflow="ellipsis" vert="horz" wrap="square" anchor="ctr" anchorCtr="1"/>
        <a:lstStyle/>
        <a:p>
          <a:pPr rtl="0">
            <a:defRPr sz="10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legend>
    <c:plotVisOnly val="1"/>
    <c:dispBlanksAs val="gap"/>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012A4C"/>
            </a:solidFill>
          </c:spPr>
          <c:dPt>
            <c:idx val="0"/>
            <c:bubble3D val="0"/>
            <c:spPr>
              <a:solidFill>
                <a:srgbClr val="012A4C"/>
              </a:solidFill>
              <a:ln w="19050">
                <a:solidFill>
                  <a:schemeClr val="lt1"/>
                </a:solidFill>
              </a:ln>
              <a:effectLst/>
            </c:spPr>
            <c:extLst>
              <c:ext xmlns:c16="http://schemas.microsoft.com/office/drawing/2014/chart" uri="{C3380CC4-5D6E-409C-BE32-E72D297353CC}">
                <c16:uniqueId val="{00000001-7EE3-4B7C-AD6D-3F69E4597BB6}"/>
              </c:ext>
            </c:extLst>
          </c:dPt>
          <c:dPt>
            <c:idx val="1"/>
            <c:bubble3D val="0"/>
            <c:spPr>
              <a:solidFill>
                <a:srgbClr val="D1D1D1"/>
              </a:solidFill>
              <a:ln w="19050">
                <a:solidFill>
                  <a:schemeClr val="lt1"/>
                </a:solidFill>
              </a:ln>
              <a:effectLst/>
            </c:spPr>
            <c:extLst>
              <c:ext xmlns:c16="http://schemas.microsoft.com/office/drawing/2014/chart" uri="{C3380CC4-5D6E-409C-BE32-E72D297353CC}">
                <c16:uniqueId val="{00000003-7EE3-4B7C-AD6D-3F69E4597BB6}"/>
              </c:ext>
            </c:extLst>
          </c:dPt>
          <c:dLbls>
            <c:dLbl>
              <c:idx val="0"/>
              <c:layout>
                <c:manualLayout>
                  <c:x val="-6.8019981510131611E-2"/>
                  <c:y val="0.27595564510494514"/>
                </c:manualLayout>
              </c:layout>
              <c:spPr>
                <a:solidFill>
                  <a:srgbClr val="EFEFEF"/>
                </a:solidFill>
                <a:ln>
                  <a:solidFill>
                    <a:srgbClr val="EFEFEF"/>
                  </a:solidFill>
                </a:ln>
                <a:effectLst/>
              </c:spPr>
              <c:txPr>
                <a:bodyPr rot="0" spcFirstLastPara="1" vertOverflow="clip" horzOverflow="clip" vert="horz" wrap="square" lIns="38100" tIns="19050" rIns="38100" bIns="19050" anchor="ctr" anchorCtr="1">
                  <a:no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ellipse">
                      <a:avLst/>
                    </a:prstGeom>
                    <a:noFill/>
                    <a:ln>
                      <a:noFill/>
                    </a:ln>
                  </c15:spPr>
                  <c15:layout>
                    <c:manualLayout>
                      <c:w val="0.18335676518944771"/>
                      <c:h val="0.15917627515013452"/>
                    </c:manualLayout>
                  </c15:layout>
                </c:ext>
                <c:ext xmlns:c16="http://schemas.microsoft.com/office/drawing/2014/chart" uri="{C3380CC4-5D6E-409C-BE32-E72D297353CC}">
                  <c16:uniqueId val="{00000001-7EE3-4B7C-AD6D-3F69E4597BB6}"/>
                </c:ext>
              </c:extLst>
            </c:dLbl>
            <c:dLbl>
              <c:idx val="1"/>
              <c:delete val="1"/>
              <c:extLst>
                <c:ext xmlns:c15="http://schemas.microsoft.com/office/drawing/2012/chart" uri="{CE6537A1-D6FC-4f65-9D91-7224C49458BB}">
                  <c15:layout>
                    <c:manualLayout>
                      <c:w val="0.27826745945743964"/>
                      <c:h val="0.31296246542270384"/>
                    </c:manualLayout>
                  </c15:layout>
                </c:ext>
                <c:ext xmlns:c16="http://schemas.microsoft.com/office/drawing/2014/chart" uri="{C3380CC4-5D6E-409C-BE32-E72D297353CC}">
                  <c16:uniqueId val="{00000003-7EE3-4B7C-AD6D-3F69E4597BB6}"/>
                </c:ext>
              </c:extLst>
            </c:dLbl>
            <c:spPr>
              <a:solidFill>
                <a:srgbClr val="EFEFEF"/>
              </a:solidFill>
              <a:ln>
                <a:solidFill>
                  <a:srgbClr val="EFEFEF"/>
                </a:solidFill>
              </a:ln>
              <a:effectLst/>
            </c:spPr>
            <c:txPr>
              <a:bodyPr rot="0" spcFirstLastPara="1" vertOverflow="clip" horzOverflow="clip" vert="horz" wrap="square" lIns="38100" tIns="19050" rIns="38100" bIns="19050" anchor="ctr" anchorCtr="1">
                <a:sp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'Utregning av grafer'!$I$354:$J$354</c:f>
              <c:strCache>
                <c:ptCount val="2"/>
                <c:pt idx="0">
                  <c:v>Andel anskaffelser som har menneskerettigheter som kravspesifikasjon</c:v>
                </c:pt>
                <c:pt idx="1">
                  <c:v>Ikke stilt krav</c:v>
                </c:pt>
              </c:strCache>
            </c:strRef>
          </c:cat>
          <c:val>
            <c:numRef>
              <c:f>'Utregning av grafer'!$I$355:$J$355</c:f>
              <c:numCache>
                <c:formatCode>0%</c:formatCode>
                <c:ptCount val="2"/>
                <c:pt idx="0">
                  <c:v>0.11320754716981132</c:v>
                </c:pt>
                <c:pt idx="1">
                  <c:v>0.8867924528301887</c:v>
                </c:pt>
              </c:numCache>
            </c:numRef>
          </c:val>
          <c:extLst>
            <c:ext xmlns:c16="http://schemas.microsoft.com/office/drawing/2014/chart" uri="{C3380CC4-5D6E-409C-BE32-E72D297353CC}">
              <c16:uniqueId val="{00000004-7EE3-4B7C-AD6D-3F69E4597BB6}"/>
            </c:ext>
          </c:extLst>
        </c:ser>
        <c:dLbls>
          <c:showLegendKey val="0"/>
          <c:showVal val="0"/>
          <c:showCatName val="0"/>
          <c:showSerName val="0"/>
          <c:showPercent val="0"/>
          <c:showBubbleSize val="0"/>
          <c:showLeaderLines val="0"/>
        </c:dLbls>
        <c:firstSliceAng val="0"/>
        <c:holeSize val="50"/>
      </c:doughnutChart>
      <c:spPr>
        <a:noFill/>
        <a:ln>
          <a:noFill/>
        </a:ln>
        <a:effectLst/>
      </c:spPr>
    </c:plotArea>
    <c:legend>
      <c:legendPos val="l"/>
      <c:legendEntry>
        <c:idx val="1"/>
        <c:delete val="1"/>
      </c:legendEntry>
      <c:layout>
        <c:manualLayout>
          <c:xMode val="edge"/>
          <c:yMode val="edge"/>
          <c:x val="5.7327016476743806E-2"/>
          <c:y val="0.29087541917013648"/>
          <c:w val="0.33271744284725557"/>
          <c:h val="0.42746751847434872"/>
        </c:manualLayout>
      </c:layout>
      <c:overlay val="0"/>
      <c:spPr>
        <a:noFill/>
        <a:ln>
          <a:noFill/>
        </a:ln>
        <a:effectLst/>
      </c:spPr>
      <c:txPr>
        <a:bodyPr rot="0" spcFirstLastPara="1" vertOverflow="ellipsis" vert="horz" wrap="square" anchor="ctr" anchorCtr="1"/>
        <a:lstStyle/>
        <a:p>
          <a:pPr rtl="0">
            <a:defRPr sz="10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legend>
    <c:plotVisOnly val="1"/>
    <c:dispBlanksAs val="gap"/>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012A4C"/>
            </a:solidFill>
          </c:spPr>
          <c:dPt>
            <c:idx val="0"/>
            <c:bubble3D val="0"/>
            <c:spPr>
              <a:solidFill>
                <a:srgbClr val="012A4C"/>
              </a:solidFill>
              <a:ln w="19050">
                <a:solidFill>
                  <a:schemeClr val="lt1"/>
                </a:solidFill>
              </a:ln>
              <a:effectLst/>
            </c:spPr>
            <c:extLst>
              <c:ext xmlns:c16="http://schemas.microsoft.com/office/drawing/2014/chart" uri="{C3380CC4-5D6E-409C-BE32-E72D297353CC}">
                <c16:uniqueId val="{00000001-97FD-4BF5-A24A-76F99C95C609}"/>
              </c:ext>
            </c:extLst>
          </c:dPt>
          <c:dPt>
            <c:idx val="1"/>
            <c:bubble3D val="0"/>
            <c:spPr>
              <a:solidFill>
                <a:srgbClr val="D1D1D1"/>
              </a:solidFill>
              <a:ln w="19050">
                <a:solidFill>
                  <a:schemeClr val="lt1"/>
                </a:solidFill>
              </a:ln>
              <a:effectLst/>
            </c:spPr>
            <c:extLst>
              <c:ext xmlns:c16="http://schemas.microsoft.com/office/drawing/2014/chart" uri="{C3380CC4-5D6E-409C-BE32-E72D297353CC}">
                <c16:uniqueId val="{00000003-97FD-4BF5-A24A-76F99C95C609}"/>
              </c:ext>
            </c:extLst>
          </c:dPt>
          <c:dLbls>
            <c:dLbl>
              <c:idx val="0"/>
              <c:layout>
                <c:manualLayout>
                  <c:x val="-0.15678442723122446"/>
                  <c:y val="-6.4650771031315724E-2"/>
                </c:manualLayout>
              </c:layout>
              <c:tx>
                <c:rich>
                  <a:bodyPr rot="0" spcFirstLastPara="1" vertOverflow="clip" horzOverflow="clip" vert="horz" wrap="square" lIns="38100" tIns="19050" rIns="38100" bIns="19050" anchor="ctr" anchorCtr="1">
                    <a:no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fld id="{D9B4062A-5A6E-4BEA-A74E-114C8FBA3E1F}" type="VALUE">
                      <a:rPr lang="en-US">
                        <a:latin typeface="Source Serif Pro" panose="02040603050405020204" pitchFamily="18" charset="0"/>
                        <a:ea typeface="Source Serif Pro" panose="02040603050405020204" pitchFamily="18" charset="0"/>
                      </a:rPr>
                      <a:pPr>
                        <a:defRPr sz="1800">
                          <a:solidFill>
                            <a:srgbClr val="012A4C"/>
                          </a:solidFill>
                          <a:latin typeface="Source Serif Pro" panose="02040603050405020204" pitchFamily="18" charset="0"/>
                          <a:ea typeface="Source Serif Pro" panose="02040603050405020204" pitchFamily="18" charset="0"/>
                        </a:defRPr>
                      </a:pPr>
                      <a:t>[VERDI]</a:t>
                    </a:fld>
                    <a:endParaRPr lang="nb-NO"/>
                  </a:p>
                </c:rich>
              </c:tx>
              <c:spPr>
                <a:solidFill>
                  <a:srgbClr val="EFEFEF"/>
                </a:solidFill>
                <a:ln>
                  <a:solidFill>
                    <a:srgbClr val="EFEFEF"/>
                  </a:solidFill>
                </a:ln>
                <a:effectLst/>
              </c:spPr>
              <c:txPr>
                <a:bodyPr rot="0" spcFirstLastPara="1" vertOverflow="clip" horzOverflow="clip" vert="horz" wrap="square" lIns="38100" tIns="19050" rIns="38100" bIns="19050" anchor="ctr" anchorCtr="1">
                  <a:no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ellipse">
                      <a:avLst/>
                    </a:prstGeom>
                    <a:noFill/>
                    <a:ln>
                      <a:noFill/>
                    </a:ln>
                  </c15:spPr>
                  <c15:layout>
                    <c:manualLayout>
                      <c:w val="0.18335676518944771"/>
                      <c:h val="0.15917627515013452"/>
                    </c:manualLayout>
                  </c15:layout>
                  <c15:dlblFieldTable/>
                  <c15:showDataLabelsRange val="0"/>
                </c:ext>
                <c:ext xmlns:c16="http://schemas.microsoft.com/office/drawing/2014/chart" uri="{C3380CC4-5D6E-409C-BE32-E72D297353CC}">
                  <c16:uniqueId val="{00000001-97FD-4BF5-A24A-76F99C95C609}"/>
                </c:ext>
              </c:extLst>
            </c:dLbl>
            <c:dLbl>
              <c:idx val="1"/>
              <c:delete val="1"/>
              <c:extLst>
                <c:ext xmlns:c15="http://schemas.microsoft.com/office/drawing/2012/chart" uri="{CE6537A1-D6FC-4f65-9D91-7224C49458BB}">
                  <c15:layout>
                    <c:manualLayout>
                      <c:w val="0.27826745945743964"/>
                      <c:h val="0.31296246542270384"/>
                    </c:manualLayout>
                  </c15:layout>
                </c:ext>
                <c:ext xmlns:c16="http://schemas.microsoft.com/office/drawing/2014/chart" uri="{C3380CC4-5D6E-409C-BE32-E72D297353CC}">
                  <c16:uniqueId val="{00000003-97FD-4BF5-A24A-76F99C95C609}"/>
                </c:ext>
              </c:extLst>
            </c:dLbl>
            <c:spPr>
              <a:solidFill>
                <a:srgbClr val="EFEFEF"/>
              </a:solidFill>
              <a:ln>
                <a:solidFill>
                  <a:srgbClr val="EFEFEF"/>
                </a:solidFill>
              </a:ln>
              <a:effectLst/>
            </c:spPr>
            <c:txPr>
              <a:bodyPr rot="0" spcFirstLastPara="1" vertOverflow="clip" horzOverflow="clip" vert="horz" wrap="square" lIns="38100" tIns="19050" rIns="38100" bIns="19050" anchor="ctr" anchorCtr="1">
                <a:sp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'Utregning av grafer'!$F$3:$F$4</c:f>
              <c:strCache>
                <c:ptCount val="2"/>
                <c:pt idx="0">
                  <c:v>Andelen anskaffelser som har brukt minst 1 krav ordrett fra Kriterieveiviseren</c:v>
                </c:pt>
                <c:pt idx="1">
                  <c:v>Ikke brukt krtierieveiviseren</c:v>
                </c:pt>
              </c:strCache>
            </c:strRef>
          </c:cat>
          <c:val>
            <c:numRef>
              <c:f>'Utregning av grafer'!$H$3:$H$4</c:f>
              <c:numCache>
                <c:formatCode>0%</c:formatCode>
                <c:ptCount val="2"/>
                <c:pt idx="0">
                  <c:v>0.54385964912280704</c:v>
                </c:pt>
                <c:pt idx="1">
                  <c:v>0.38596491228070173</c:v>
                </c:pt>
              </c:numCache>
            </c:numRef>
          </c:val>
          <c:extLst>
            <c:ext xmlns:c16="http://schemas.microsoft.com/office/drawing/2014/chart" uri="{C3380CC4-5D6E-409C-BE32-E72D297353CC}">
              <c16:uniqueId val="{00000004-97FD-4BF5-A24A-76F99C95C609}"/>
            </c:ext>
          </c:extLst>
        </c:ser>
        <c:dLbls>
          <c:showLegendKey val="0"/>
          <c:showVal val="0"/>
          <c:showCatName val="0"/>
          <c:showSerName val="0"/>
          <c:showPercent val="0"/>
          <c:showBubbleSize val="0"/>
          <c:showLeaderLines val="0"/>
        </c:dLbls>
        <c:firstSliceAng val="0"/>
        <c:holeSize val="50"/>
      </c:doughnutChart>
      <c:spPr>
        <a:noFill/>
        <a:ln>
          <a:noFill/>
        </a:ln>
        <a:effectLst/>
      </c:spPr>
    </c:plotArea>
    <c:legend>
      <c:legendPos val="l"/>
      <c:legendEntry>
        <c:idx val="1"/>
        <c:delete val="1"/>
      </c:legendEntry>
      <c:layout>
        <c:manualLayout>
          <c:xMode val="edge"/>
          <c:yMode val="edge"/>
          <c:x val="1.966674841749616E-2"/>
          <c:y val="0.32586809455951093"/>
          <c:w val="0.37470864837208545"/>
          <c:h val="0.33796338726591885"/>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legend>
    <c:plotVisOnly val="1"/>
    <c:dispBlanksAs val="gap"/>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'Utregning av grafer'!$J$10</c:f>
              <c:strCache>
                <c:ptCount val="1"/>
                <c:pt idx="0">
                  <c:v>Prosent</c:v>
                </c:pt>
              </c:strCache>
            </c:strRef>
          </c:tx>
          <c:spPr>
            <a:solidFill>
              <a:srgbClr val="012A4C"/>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'Utregning av grafer'!$K$9:$W$9</c:f>
              <c:strCache>
                <c:ptCount val="13"/>
                <c:pt idx="0">
                  <c:v>Robuste møbeltekstiler</c:v>
                </c:pt>
                <c:pt idx="1">
                  <c:v>Brannsikkerhet og å unngå bruk av flammehemmere</c:v>
                </c:pt>
                <c:pt idx="2">
                  <c:v>Gjenvinnbar emballasje</c:v>
                </c:pt>
                <c:pt idx="3">
                  <c:v>Unngå bruk av PVC</c:v>
                </c:pt>
                <c:pt idx="4">
                  <c:v>Unngå skadelige kjemikalier </c:v>
                </c:pt>
                <c:pt idx="5">
                  <c:v>Møbler med høy kvalitet etter produktstandard</c:v>
                </c:pt>
                <c:pt idx="6">
                  <c:v>Produktinformasjon om demontering, reparasjon og tilgang på reservedeler</c:v>
                </c:pt>
                <c:pt idx="7">
                  <c:v>Miljøvennelig emballasje</c:v>
                </c:pt>
                <c:pt idx="8">
                  <c:v>Enkel rengjøring av møbler</c:v>
                </c:pt>
                <c:pt idx="9">
                  <c:v>Ivaretagelse av grunnleggende menneskerettigheter i leverandørkjeder</c:v>
                </c:pt>
                <c:pt idx="10">
                  <c:v>Bærekraftig trevirke i møbler</c:v>
                </c:pt>
                <c:pt idx="11">
                  <c:v>Merking av plast</c:v>
                </c:pt>
                <c:pt idx="12">
                  <c:v>Avhending, videresalg, materialgjenvinnes/ resirkuleres</c:v>
                </c:pt>
              </c:strCache>
            </c:strRef>
          </c:cat>
          <c:val>
            <c:numRef>
              <c:f>'Utregning av grafer'!$K$10:$W$10</c:f>
              <c:numCache>
                <c:formatCode>0%</c:formatCode>
                <c:ptCount val="13"/>
                <c:pt idx="0">
                  <c:v>0.2361111111111111</c:v>
                </c:pt>
                <c:pt idx="1">
                  <c:v>0.19736842105263158</c:v>
                </c:pt>
                <c:pt idx="2">
                  <c:v>0.17948717948717949</c:v>
                </c:pt>
                <c:pt idx="3">
                  <c:v>0.16250001</c:v>
                </c:pt>
                <c:pt idx="4">
                  <c:v>0.16250000000000001</c:v>
                </c:pt>
                <c:pt idx="5">
                  <c:v>0.14634246341463414</c:v>
                </c:pt>
                <c:pt idx="6">
                  <c:v>0.14634146341463414</c:v>
                </c:pt>
                <c:pt idx="7">
                  <c:v>0.13095238095238096</c:v>
                </c:pt>
                <c:pt idx="8">
                  <c:v>7.6086956521739135E-2</c:v>
                </c:pt>
                <c:pt idx="9">
                  <c:v>6.3829787234042548E-2</c:v>
                </c:pt>
                <c:pt idx="10">
                  <c:v>4.0816326530612242E-2</c:v>
                </c:pt>
                <c:pt idx="11">
                  <c:v>1.9607843137254902E-2</c:v>
                </c:pt>
                <c:pt idx="12">
                  <c:v>9.6153846153846159E-3</c:v>
                </c:pt>
              </c:numCache>
            </c:numRef>
          </c:val>
          <c:extLst>
            <c:ext xmlns:c16="http://schemas.microsoft.com/office/drawing/2014/chart" uri="{C3380CC4-5D6E-409C-BE32-E72D297353CC}">
              <c16:uniqueId val="{00000000-26AB-48F8-B8C7-6E19EBA80912}"/>
            </c:ext>
          </c:extLst>
        </c:ser>
        <c:dLbls>
          <c:showLegendKey val="0"/>
          <c:showVal val="0"/>
          <c:showCatName val="0"/>
          <c:showSerName val="0"/>
          <c:showPercent val="0"/>
          <c:showBubbleSize val="0"/>
        </c:dLbls>
        <c:gapWidth val="219"/>
        <c:axId val="344014608"/>
        <c:axId val="344014936"/>
      </c:barChart>
      <c:catAx>
        <c:axId val="344014608"/>
        <c:scaling>
          <c:orientation val="minMax"/>
        </c:scaling>
        <c:delete val="0"/>
        <c:axPos val="l"/>
        <c:numFmt formatCode="General" sourceLinked="1"/>
        <c:majorTickMark val="out"/>
        <c:minorTickMark val="none"/>
        <c:tickLblPos val="nextTo"/>
        <c:spPr>
          <a:noFill/>
          <a:ln w="9525" cap="flat" cmpd="thickThin" algn="ctr">
            <a:solidFill>
              <a:schemeClr val="tx1">
                <a:lumMod val="15000"/>
                <a:lumOff val="85000"/>
              </a:schemeClr>
            </a:solidFill>
            <a:round/>
          </a:ln>
          <a:effectLst/>
        </c:spPr>
        <c:txPr>
          <a:bodyPr rot="-60000000" spcFirstLastPara="1" vertOverflow="ellipsis" vert="horz" wrap="square" anchor="b" anchorCtr="0"/>
          <a:lstStyle/>
          <a:p>
            <a:pPr>
              <a:defRPr sz="900" b="0" i="0" u="none" strike="noStrike" kern="1200" baseline="0">
                <a:solidFill>
                  <a:srgbClr val="012A4C"/>
                </a:solidFill>
                <a:latin typeface="Source Sans Pro" panose="020B0503030403020204" pitchFamily="34" charset="0"/>
                <a:ea typeface="Source Sans Pro" panose="020B0503030403020204" pitchFamily="34" charset="0"/>
                <a:cs typeface="+mn-cs"/>
              </a:defRPr>
            </a:pPr>
            <a:endParaRPr lang="nb-NO"/>
          </a:p>
        </c:txPr>
        <c:crossAx val="344014936"/>
        <c:crosses val="autoZero"/>
        <c:auto val="1"/>
        <c:lblAlgn val="ctr"/>
        <c:lblOffset val="100"/>
        <c:noMultiLvlLbl val="0"/>
      </c:catAx>
      <c:valAx>
        <c:axId val="344014936"/>
        <c:scaling>
          <c:orientation val="minMax"/>
          <c:max val="1"/>
        </c:scaling>
        <c:delete val="1"/>
        <c:axPos val="b"/>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crossAx val="344014608"/>
        <c:crosses val="autoZero"/>
        <c:crossBetween val="between"/>
        <c:majorUnit val="0.2"/>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012A4C"/>
            </a:solidFill>
          </c:spPr>
          <c:dPt>
            <c:idx val="0"/>
            <c:bubble3D val="0"/>
            <c:spPr>
              <a:solidFill>
                <a:srgbClr val="012A4C"/>
              </a:solidFill>
              <a:ln w="19050">
                <a:solidFill>
                  <a:schemeClr val="lt1"/>
                </a:solidFill>
              </a:ln>
              <a:effectLst/>
            </c:spPr>
            <c:extLst>
              <c:ext xmlns:c16="http://schemas.microsoft.com/office/drawing/2014/chart" uri="{C3380CC4-5D6E-409C-BE32-E72D297353CC}">
                <c16:uniqueId val="{00000001-7AA8-4A39-999A-11360A58121B}"/>
              </c:ext>
            </c:extLst>
          </c:dPt>
          <c:dPt>
            <c:idx val="1"/>
            <c:bubble3D val="0"/>
            <c:spPr>
              <a:solidFill>
                <a:srgbClr val="D1D1D1"/>
              </a:solidFill>
              <a:ln w="19050">
                <a:solidFill>
                  <a:schemeClr val="lt1"/>
                </a:solidFill>
              </a:ln>
              <a:effectLst/>
            </c:spPr>
            <c:extLst>
              <c:ext xmlns:c16="http://schemas.microsoft.com/office/drawing/2014/chart" uri="{C3380CC4-5D6E-409C-BE32-E72D297353CC}">
                <c16:uniqueId val="{00000003-7AA8-4A39-999A-11360A58121B}"/>
              </c:ext>
            </c:extLst>
          </c:dPt>
          <c:dLbls>
            <c:dLbl>
              <c:idx val="0"/>
              <c:layout>
                <c:manualLayout>
                  <c:x val="-0.13940653342054651"/>
                  <c:y val="0.17969895628123186"/>
                </c:manualLayout>
              </c:layout>
              <c:spPr>
                <a:solidFill>
                  <a:srgbClr val="EFEFEF"/>
                </a:solidFill>
                <a:ln>
                  <a:solidFill>
                    <a:srgbClr val="EFEFEF"/>
                  </a:solidFill>
                </a:ln>
                <a:effectLst/>
              </c:spPr>
              <c:txPr>
                <a:bodyPr rot="0" spcFirstLastPara="1" vertOverflow="clip" horzOverflow="clip" vert="horz" wrap="square" lIns="38100" tIns="19050" rIns="38100" bIns="19050" anchor="ctr" anchorCtr="1">
                  <a:no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ellipse">
                      <a:avLst/>
                    </a:prstGeom>
                    <a:noFill/>
                    <a:ln>
                      <a:noFill/>
                    </a:ln>
                  </c15:spPr>
                  <c15:layout>
                    <c:manualLayout>
                      <c:w val="0.22917406739944041"/>
                      <c:h val="0.21076022204170047"/>
                    </c:manualLayout>
                  </c15:layout>
                </c:ext>
                <c:ext xmlns:c16="http://schemas.microsoft.com/office/drawing/2014/chart" uri="{C3380CC4-5D6E-409C-BE32-E72D297353CC}">
                  <c16:uniqueId val="{00000001-7AA8-4A39-999A-11360A58121B}"/>
                </c:ext>
              </c:extLst>
            </c:dLbl>
            <c:dLbl>
              <c:idx val="1"/>
              <c:delete val="1"/>
              <c:extLst>
                <c:ext xmlns:c15="http://schemas.microsoft.com/office/drawing/2012/chart" uri="{CE6537A1-D6FC-4f65-9D91-7224C49458BB}">
                  <c15:layout>
                    <c:manualLayout>
                      <c:w val="0.27826745945743964"/>
                      <c:h val="0.31296246542270384"/>
                    </c:manualLayout>
                  </c15:layout>
                </c:ext>
                <c:ext xmlns:c16="http://schemas.microsoft.com/office/drawing/2014/chart" uri="{C3380CC4-5D6E-409C-BE32-E72D297353CC}">
                  <c16:uniqueId val="{00000003-7AA8-4A39-999A-11360A58121B}"/>
                </c:ext>
              </c:extLst>
            </c:dLbl>
            <c:spPr>
              <a:solidFill>
                <a:srgbClr val="EFEFEF"/>
              </a:solidFill>
              <a:ln>
                <a:solidFill>
                  <a:srgbClr val="EFEFEF"/>
                </a:solidFill>
              </a:ln>
              <a:effectLst/>
            </c:spPr>
            <c:txPr>
              <a:bodyPr rot="0" spcFirstLastPara="1" vertOverflow="clip" horzOverflow="clip" vert="horz" wrap="square" lIns="38100" tIns="19050" rIns="38100" bIns="19050" anchor="ctr" anchorCtr="1">
                <a:spAutoFit/>
              </a:bodyPr>
              <a:lstStyle/>
              <a:p>
                <a:pPr>
                  <a:defRPr sz="18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'Utregning av grafer'!$R$82:$S$82</c:f>
              <c:strCache>
                <c:ptCount val="2"/>
                <c:pt idx="0">
                  <c:v>Andel av totalverdi der det er krav til EPD</c:v>
                </c:pt>
                <c:pt idx="1">
                  <c:v>Ikke brukt</c:v>
                </c:pt>
              </c:strCache>
            </c:strRef>
          </c:cat>
          <c:val>
            <c:numRef>
              <c:f>'Utregning av grafer'!$R$83:$S$83</c:f>
              <c:numCache>
                <c:formatCode>0%</c:formatCode>
                <c:ptCount val="2"/>
                <c:pt idx="0">
                  <c:v>0.27816218975817236</c:v>
                </c:pt>
                <c:pt idx="1">
                  <c:v>0.72183781024182769</c:v>
                </c:pt>
              </c:numCache>
            </c:numRef>
          </c:val>
          <c:extLst>
            <c:ext xmlns:c16="http://schemas.microsoft.com/office/drawing/2014/chart" uri="{C3380CC4-5D6E-409C-BE32-E72D297353CC}">
              <c16:uniqueId val="{00000004-7AA8-4A39-999A-11360A58121B}"/>
            </c:ext>
          </c:extLst>
        </c:ser>
        <c:dLbls>
          <c:showLegendKey val="0"/>
          <c:showVal val="0"/>
          <c:showCatName val="0"/>
          <c:showSerName val="0"/>
          <c:showPercent val="0"/>
          <c:showBubbleSize val="0"/>
          <c:showLeaderLines val="0"/>
        </c:dLbls>
        <c:firstSliceAng val="0"/>
        <c:holeSize val="50"/>
      </c:doughnutChart>
      <c:spPr>
        <a:noFill/>
        <a:ln>
          <a:noFill/>
        </a:ln>
        <a:effectLst/>
      </c:spPr>
    </c:plotArea>
    <c:legend>
      <c:legendPos val="l"/>
      <c:legendEntry>
        <c:idx val="1"/>
        <c:delete val="1"/>
      </c:legendEntry>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legend>
    <c:plotVisOnly val="1"/>
    <c:dispBlanksAs val="gap"/>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'Utregning av grafer'!$G$17</c:f>
              <c:strCache>
                <c:ptCount val="1"/>
                <c:pt idx="0">
                  <c:v>Prosent</c:v>
                </c:pt>
              </c:strCache>
            </c:strRef>
          </c:tx>
          <c:spPr>
            <a:solidFill>
              <a:srgbClr val="012A4C"/>
            </a:solidFill>
            <a:ln>
              <a:noFill/>
            </a:ln>
            <a:effectLst/>
          </c:spPr>
          <c:invertIfNegative val="0"/>
          <c:cat>
            <c:strRef>
              <c:f>'Utregning av grafer'!$F$18:$F$20</c:f>
              <c:strCache>
                <c:ptCount val="3"/>
                <c:pt idx="0">
                  <c:v>Statlig virksomhet</c:v>
                </c:pt>
                <c:pt idx="1">
                  <c:v>Kommune </c:v>
                </c:pt>
                <c:pt idx="2">
                  <c:v>Fylkeskommune</c:v>
                </c:pt>
              </c:strCache>
            </c:strRef>
          </c:cat>
          <c:val>
            <c:numRef>
              <c:f>'Utregning av grafer'!$G$18:$G$20</c:f>
              <c:numCache>
                <c:formatCode>0%</c:formatCode>
                <c:ptCount val="3"/>
                <c:pt idx="0">
                  <c:v>0.38461538461538464</c:v>
                </c:pt>
                <c:pt idx="1">
                  <c:v>0.5</c:v>
                </c:pt>
                <c:pt idx="2">
                  <c:v>0</c:v>
                </c:pt>
              </c:numCache>
            </c:numRef>
          </c:val>
          <c:extLst>
            <c:ext xmlns:c16="http://schemas.microsoft.com/office/drawing/2014/chart" uri="{C3380CC4-5D6E-409C-BE32-E72D297353CC}">
              <c16:uniqueId val="{00000000-8BEF-44BF-9593-F4151A52FB11}"/>
            </c:ext>
          </c:extLst>
        </c:ser>
        <c:dLbls>
          <c:showLegendKey val="0"/>
          <c:showVal val="0"/>
          <c:showCatName val="0"/>
          <c:showSerName val="0"/>
          <c:showPercent val="0"/>
          <c:showBubbleSize val="0"/>
        </c:dLbls>
        <c:gapWidth val="219"/>
        <c:axId val="344014608"/>
        <c:axId val="344014936"/>
      </c:barChart>
      <c:catAx>
        <c:axId val="344014608"/>
        <c:scaling>
          <c:orientation val="minMax"/>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344014936"/>
        <c:crosses val="autoZero"/>
        <c:auto val="1"/>
        <c:lblAlgn val="ctr"/>
        <c:lblOffset val="100"/>
        <c:noMultiLvlLbl val="0"/>
      </c:catAx>
      <c:valAx>
        <c:axId val="344014936"/>
        <c:scaling>
          <c:orientation val="minMax"/>
          <c:max val="1"/>
        </c:scaling>
        <c:delete val="0"/>
        <c:axPos val="b"/>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spPr>
          <a:noFill/>
          <a:ln>
            <a:noFill/>
          </a:ln>
          <a:effectLst/>
        </c:spPr>
        <c:txPr>
          <a:bodyPr rot="-60000000" spcFirstLastPara="1" vertOverflow="ellipsis" vert="horz" wrap="square" anchor="b"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344014608"/>
        <c:crosses val="autoZero"/>
        <c:crossBetween val="between"/>
        <c:majorUnit val="0.2"/>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'Utregning av grafer'!$P$17</c:f>
              <c:strCache>
                <c:ptCount val="1"/>
                <c:pt idx="0">
                  <c:v>Estimert verdi som har miljø som tildelingskriterium (%)</c:v>
                </c:pt>
              </c:strCache>
            </c:strRef>
          </c:tx>
          <c:spPr>
            <a:solidFill>
              <a:srgbClr val="012A4C"/>
            </a:solidFill>
            <a:ln>
              <a:noFill/>
            </a:ln>
            <a:effectLst/>
          </c:spPr>
          <c:invertIfNegative val="0"/>
          <c:dPt>
            <c:idx val="0"/>
            <c:invertIfNegative val="0"/>
            <c:bubble3D val="0"/>
            <c:spPr>
              <a:solidFill>
                <a:srgbClr val="012A4C"/>
              </a:solidFill>
              <a:ln>
                <a:noFill/>
              </a:ln>
              <a:effectLst>
                <a:outerShdw blurRad="50800" dist="50800" dir="5400000" sx="1000" sy="1000" algn="ctr" rotWithShape="0">
                  <a:srgbClr val="000000">
                    <a:alpha val="43137"/>
                  </a:srgbClr>
                </a:outerShdw>
              </a:effectLst>
            </c:spPr>
            <c:extLst>
              <c:ext xmlns:c16="http://schemas.microsoft.com/office/drawing/2014/chart" uri="{C3380CC4-5D6E-409C-BE32-E72D297353CC}">
                <c16:uniqueId val="{00000001-EC06-4909-A38F-09D26283A799}"/>
              </c:ext>
            </c:extLst>
          </c:dPt>
          <c:dLbls>
            <c:dLbl>
              <c:idx val="1"/>
              <c:layout>
                <c:manualLayout>
                  <c:x val="-1.0198477006846147E-16"/>
                  <c:y val="-6.7436731687781689E-17"/>
                </c:manualLayout>
              </c:layout>
              <c:dLblPos val="outEnd"/>
              <c:showLegendKey val="0"/>
              <c:showVal val="0"/>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2-EC06-4909-A38F-09D26283A799}"/>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nb-NO"/>
              </a:p>
            </c:txPr>
            <c:dLblPos val="outEnd"/>
            <c:showLegendKey val="0"/>
            <c:showVal val="0"/>
            <c:showCatName val="1"/>
            <c:showSerName val="0"/>
            <c:showPercent val="0"/>
            <c:showBubbleSize val="0"/>
            <c:separator> </c:separator>
            <c:showLeaderLines val="0"/>
            <c:extLst>
              <c:ext xmlns:c15="http://schemas.microsoft.com/office/drawing/2012/chart" uri="{CE6537A1-D6FC-4f65-9D91-7224C49458BB}">
                <c15:showLeaderLines val="0"/>
              </c:ext>
            </c:extLst>
          </c:dLbls>
          <c:cat>
            <c:strRef>
              <c:f>'Utregning av grafer'!$F$18:$F$20</c:f>
              <c:strCache>
                <c:ptCount val="3"/>
                <c:pt idx="0">
                  <c:v>Statlig virksomhet</c:v>
                </c:pt>
                <c:pt idx="1">
                  <c:v>Kommune </c:v>
                </c:pt>
                <c:pt idx="2">
                  <c:v>Fylkeskommune</c:v>
                </c:pt>
              </c:strCache>
            </c:strRef>
          </c:cat>
          <c:val>
            <c:numRef>
              <c:f>'Utregning av grafer'!$P$18:$P$20</c:f>
              <c:numCache>
                <c:formatCode>0%</c:formatCode>
                <c:ptCount val="3"/>
                <c:pt idx="0">
                  <c:v>0.5518402513638444</c:v>
                </c:pt>
                <c:pt idx="1">
                  <c:v>0.71803278688524586</c:v>
                </c:pt>
                <c:pt idx="2">
                  <c:v>0</c:v>
                </c:pt>
              </c:numCache>
            </c:numRef>
          </c:val>
          <c:extLst>
            <c:ext xmlns:c16="http://schemas.microsoft.com/office/drawing/2014/chart" uri="{C3380CC4-5D6E-409C-BE32-E72D297353CC}">
              <c16:uniqueId val="{00000003-EC06-4909-A38F-09D26283A799}"/>
            </c:ext>
          </c:extLst>
        </c:ser>
        <c:dLbls>
          <c:dLblPos val="outEnd"/>
          <c:showLegendKey val="0"/>
          <c:showVal val="1"/>
          <c:showCatName val="0"/>
          <c:showSerName val="0"/>
          <c:showPercent val="0"/>
          <c:showBubbleSize val="0"/>
        </c:dLbls>
        <c:gapWidth val="57"/>
        <c:axId val="344014608"/>
        <c:axId val="344014936"/>
      </c:barChart>
      <c:catAx>
        <c:axId val="344014608"/>
        <c:scaling>
          <c:orientation val="minMax"/>
        </c:scaling>
        <c:delete val="1"/>
        <c:axPos val="b"/>
        <c:numFmt formatCode="General" sourceLinked="1"/>
        <c:majorTickMark val="out"/>
        <c:minorTickMark val="none"/>
        <c:tickLblPos val="nextTo"/>
        <c:crossAx val="344014936"/>
        <c:crosses val="autoZero"/>
        <c:auto val="1"/>
        <c:lblAlgn val="ctr"/>
        <c:lblOffset val="100"/>
        <c:noMultiLvlLbl val="0"/>
      </c:catAx>
      <c:valAx>
        <c:axId val="344014936"/>
        <c:scaling>
          <c:orientation val="minMax"/>
          <c:max val="1"/>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spPr>
          <a:noFill/>
          <a:ln>
            <a:noFill/>
          </a:ln>
          <a:effectLst/>
        </c:spPr>
        <c:txPr>
          <a:bodyPr rot="-60000000" spcFirstLastPara="1" vertOverflow="ellipsis" vert="horz" wrap="square" anchor="b"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344014608"/>
        <c:crosses val="autoZero"/>
        <c:crossBetween val="between"/>
        <c:minorUnit val="0.2"/>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'Utregning av grafer'!$G$17</c:f>
              <c:strCache>
                <c:ptCount val="1"/>
                <c:pt idx="0">
                  <c:v>Prosent</c:v>
                </c:pt>
              </c:strCache>
            </c:strRef>
          </c:tx>
          <c:spPr>
            <a:solidFill>
              <a:srgbClr val="012A4C"/>
            </a:solidFill>
            <a:ln>
              <a:noFill/>
            </a:ln>
            <a:effectLst/>
          </c:spPr>
          <c:invertIfNegative val="0"/>
          <c:cat>
            <c:strRef>
              <c:f>'Utregning av grafer'!$F$27:$F$29</c:f>
              <c:strCache>
                <c:ptCount val="3"/>
                <c:pt idx="0">
                  <c:v>Statlig virksomhet</c:v>
                </c:pt>
                <c:pt idx="1">
                  <c:v>Kommune </c:v>
                </c:pt>
                <c:pt idx="2">
                  <c:v>Fylkeskommune</c:v>
                </c:pt>
              </c:strCache>
            </c:strRef>
          </c:cat>
          <c:val>
            <c:numRef>
              <c:f>'Utregning av grafer'!$G$27:$G$29</c:f>
              <c:numCache>
                <c:formatCode>0%</c:formatCode>
                <c:ptCount val="3"/>
                <c:pt idx="0">
                  <c:v>0.26923076923076922</c:v>
                </c:pt>
                <c:pt idx="1">
                  <c:v>0.45833333333333331</c:v>
                </c:pt>
                <c:pt idx="2">
                  <c:v>0</c:v>
                </c:pt>
              </c:numCache>
            </c:numRef>
          </c:val>
          <c:extLst>
            <c:ext xmlns:c16="http://schemas.microsoft.com/office/drawing/2014/chart" uri="{C3380CC4-5D6E-409C-BE32-E72D297353CC}">
              <c16:uniqueId val="{00000000-AB8E-4ECF-8FCE-776BC24EE7A4}"/>
            </c:ext>
          </c:extLst>
        </c:ser>
        <c:dLbls>
          <c:showLegendKey val="0"/>
          <c:showVal val="0"/>
          <c:showCatName val="0"/>
          <c:showSerName val="0"/>
          <c:showPercent val="0"/>
          <c:showBubbleSize val="0"/>
        </c:dLbls>
        <c:gapWidth val="219"/>
        <c:axId val="344014608"/>
        <c:axId val="344014936"/>
      </c:barChart>
      <c:catAx>
        <c:axId val="344014608"/>
        <c:scaling>
          <c:orientation val="minMax"/>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344014936"/>
        <c:crosses val="autoZero"/>
        <c:auto val="1"/>
        <c:lblAlgn val="ctr"/>
        <c:lblOffset val="100"/>
        <c:noMultiLvlLbl val="0"/>
      </c:catAx>
      <c:valAx>
        <c:axId val="344014936"/>
        <c:scaling>
          <c:orientation val="minMax"/>
          <c:max val="1"/>
        </c:scaling>
        <c:delete val="0"/>
        <c:axPos val="b"/>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spPr>
          <a:noFill/>
          <a:ln>
            <a:noFill/>
          </a:ln>
          <a:effectLst/>
        </c:spPr>
        <c:txPr>
          <a:bodyPr rot="-60000000" spcFirstLastPara="1" vertOverflow="ellipsis" vert="horz" wrap="square" anchor="b" anchorCtr="1"/>
          <a:lstStyle/>
          <a:p>
            <a:pPr algn="ctr">
              <a:defRPr lang="en-US"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344014608"/>
        <c:crosses val="autoZero"/>
        <c:crossBetween val="between"/>
        <c:majorUnit val="0.2"/>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'Utregning av grafer'!$P$25</c:f>
              <c:strCache>
                <c:ptCount val="1"/>
                <c:pt idx="0">
                  <c:v>Estimert verdi som har miljømerke som tildelingskriterium (%)</c:v>
                </c:pt>
              </c:strCache>
            </c:strRef>
          </c:tx>
          <c:spPr>
            <a:solidFill>
              <a:srgbClr val="012A4C"/>
            </a:solidFill>
            <a:ln>
              <a:noFill/>
            </a:ln>
            <a:effectLst/>
          </c:spPr>
          <c:invertIfNegative val="0"/>
          <c:dPt>
            <c:idx val="0"/>
            <c:invertIfNegative val="0"/>
            <c:bubble3D val="0"/>
            <c:spPr>
              <a:solidFill>
                <a:srgbClr val="012A4C"/>
              </a:solidFill>
              <a:ln>
                <a:noFill/>
              </a:ln>
              <a:effectLst>
                <a:outerShdw blurRad="50800" dist="50800" dir="5400000" sx="1000" sy="1000" algn="ctr" rotWithShape="0">
                  <a:srgbClr val="000000">
                    <a:alpha val="43137"/>
                  </a:srgbClr>
                </a:outerShdw>
              </a:effectLst>
            </c:spPr>
            <c:extLst>
              <c:ext xmlns:c16="http://schemas.microsoft.com/office/drawing/2014/chart" uri="{C3380CC4-5D6E-409C-BE32-E72D297353CC}">
                <c16:uniqueId val="{00000001-07E0-47A9-AD2E-85188D00FEC8}"/>
              </c:ext>
            </c:extLst>
          </c:dPt>
          <c:dLbls>
            <c:dLbl>
              <c:idx val="1"/>
              <c:layout>
                <c:manualLayout>
                  <c:x val="-1.0198477006846147E-16"/>
                  <c:y val="-6.7436731687781689E-17"/>
                </c:manualLayout>
              </c:layout>
              <c:dLblPos val="outEnd"/>
              <c:showLegendKey val="0"/>
              <c:showVal val="0"/>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2-07E0-47A9-AD2E-85188D00FEC8}"/>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nb-NO"/>
              </a:p>
            </c:txPr>
            <c:dLblPos val="outEnd"/>
            <c:showLegendKey val="0"/>
            <c:showVal val="0"/>
            <c:showCatName val="1"/>
            <c:showSerName val="0"/>
            <c:showPercent val="0"/>
            <c:showBubbleSize val="0"/>
            <c:separator> </c:separator>
            <c:showLeaderLines val="0"/>
            <c:extLst>
              <c:ext xmlns:c15="http://schemas.microsoft.com/office/drawing/2012/chart" uri="{CE6537A1-D6FC-4f65-9D91-7224C49458BB}">
                <c15:showLeaderLines val="0"/>
              </c:ext>
            </c:extLst>
          </c:dLbls>
          <c:cat>
            <c:strRef>
              <c:f>'Utregning av grafer'!$F$27:$F$29</c:f>
              <c:strCache>
                <c:ptCount val="3"/>
                <c:pt idx="0">
                  <c:v>Statlig virksomhet</c:v>
                </c:pt>
                <c:pt idx="1">
                  <c:v>Kommune </c:v>
                </c:pt>
                <c:pt idx="2">
                  <c:v>Fylkeskommune</c:v>
                </c:pt>
              </c:strCache>
            </c:strRef>
          </c:cat>
          <c:val>
            <c:numRef>
              <c:f>'Utregning av grafer'!$P$26:$P$28</c:f>
              <c:numCache>
                <c:formatCode>0%</c:formatCode>
                <c:ptCount val="3"/>
                <c:pt idx="0">
                  <c:v>0.41683843101589579</c:v>
                </c:pt>
                <c:pt idx="1">
                  <c:v>0.70398126463700239</c:v>
                </c:pt>
                <c:pt idx="2">
                  <c:v>0</c:v>
                </c:pt>
              </c:numCache>
            </c:numRef>
          </c:val>
          <c:extLst>
            <c:ext xmlns:c16="http://schemas.microsoft.com/office/drawing/2014/chart" uri="{C3380CC4-5D6E-409C-BE32-E72D297353CC}">
              <c16:uniqueId val="{00000003-07E0-47A9-AD2E-85188D00FEC8}"/>
            </c:ext>
          </c:extLst>
        </c:ser>
        <c:dLbls>
          <c:dLblPos val="outEnd"/>
          <c:showLegendKey val="0"/>
          <c:showVal val="1"/>
          <c:showCatName val="0"/>
          <c:showSerName val="0"/>
          <c:showPercent val="0"/>
          <c:showBubbleSize val="0"/>
        </c:dLbls>
        <c:gapWidth val="57"/>
        <c:axId val="344014608"/>
        <c:axId val="344014936"/>
      </c:barChart>
      <c:catAx>
        <c:axId val="344014608"/>
        <c:scaling>
          <c:orientation val="minMax"/>
        </c:scaling>
        <c:delete val="1"/>
        <c:axPos val="b"/>
        <c:numFmt formatCode="General" sourceLinked="1"/>
        <c:majorTickMark val="out"/>
        <c:minorTickMark val="none"/>
        <c:tickLblPos val="nextTo"/>
        <c:crossAx val="344014936"/>
        <c:crosses val="autoZero"/>
        <c:auto val="1"/>
        <c:lblAlgn val="ctr"/>
        <c:lblOffset val="100"/>
        <c:noMultiLvlLbl val="0"/>
      </c:catAx>
      <c:valAx>
        <c:axId val="344014936"/>
        <c:scaling>
          <c:orientation val="minMax"/>
          <c:max val="1"/>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spPr>
          <a:noFill/>
          <a:ln>
            <a:noFill/>
          </a:ln>
          <a:effectLst/>
        </c:spPr>
        <c:txPr>
          <a:bodyPr rot="-60000000" spcFirstLastPara="1" vertOverflow="ellipsis" vert="horz" wrap="square" anchor="b"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344014608"/>
        <c:crosses val="autoZero"/>
        <c:crossBetween val="between"/>
        <c:minorUnit val="0.2"/>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'Utregning av grafer'!$G$17</c:f>
              <c:strCache>
                <c:ptCount val="1"/>
                <c:pt idx="0">
                  <c:v>Prosent</c:v>
                </c:pt>
              </c:strCache>
            </c:strRef>
          </c:tx>
          <c:spPr>
            <a:solidFill>
              <a:srgbClr val="012A4C"/>
            </a:solidFill>
            <a:ln>
              <a:noFill/>
            </a:ln>
            <a:effectLst/>
          </c:spPr>
          <c:invertIfNegative val="0"/>
          <c:cat>
            <c:strRef>
              <c:f>'Utregning av grafer'!$F$34:$F$36</c:f>
              <c:strCache>
                <c:ptCount val="3"/>
                <c:pt idx="0">
                  <c:v>Statlig virksomhet</c:v>
                </c:pt>
                <c:pt idx="1">
                  <c:v>Kommune </c:v>
                </c:pt>
                <c:pt idx="2">
                  <c:v>Fylkeskommune</c:v>
                </c:pt>
              </c:strCache>
            </c:strRef>
          </c:cat>
          <c:val>
            <c:numRef>
              <c:f>'Utregning av grafer'!$G$34:$G$36</c:f>
              <c:numCache>
                <c:formatCode>0%</c:formatCode>
                <c:ptCount val="3"/>
                <c:pt idx="0">
                  <c:v>0.11538461538461539</c:v>
                </c:pt>
                <c:pt idx="1">
                  <c:v>0.33333333333333331</c:v>
                </c:pt>
                <c:pt idx="2">
                  <c:v>0</c:v>
                </c:pt>
              </c:numCache>
            </c:numRef>
          </c:val>
          <c:extLst>
            <c:ext xmlns:c16="http://schemas.microsoft.com/office/drawing/2014/chart" uri="{C3380CC4-5D6E-409C-BE32-E72D297353CC}">
              <c16:uniqueId val="{00000000-C6CE-4F91-A8CA-85F6E74E7697}"/>
            </c:ext>
          </c:extLst>
        </c:ser>
        <c:dLbls>
          <c:showLegendKey val="0"/>
          <c:showVal val="0"/>
          <c:showCatName val="0"/>
          <c:showSerName val="0"/>
          <c:showPercent val="0"/>
          <c:showBubbleSize val="0"/>
        </c:dLbls>
        <c:gapWidth val="219"/>
        <c:axId val="344014608"/>
        <c:axId val="344014936"/>
      </c:barChart>
      <c:catAx>
        <c:axId val="344014608"/>
        <c:scaling>
          <c:orientation val="minMax"/>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344014936"/>
        <c:crosses val="autoZero"/>
        <c:auto val="1"/>
        <c:lblAlgn val="ctr"/>
        <c:lblOffset val="100"/>
        <c:noMultiLvlLbl val="0"/>
      </c:catAx>
      <c:valAx>
        <c:axId val="344014936"/>
        <c:scaling>
          <c:orientation val="minMax"/>
          <c:max val="1"/>
        </c:scaling>
        <c:delete val="0"/>
        <c:axPos val="b"/>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spPr>
          <a:noFill/>
          <a:ln>
            <a:noFill/>
          </a:ln>
          <a:effectLst/>
        </c:spPr>
        <c:txPr>
          <a:bodyPr rot="-60000000" spcFirstLastPara="1" vertOverflow="ellipsis" vert="horz" wrap="square" anchor="b"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344014608"/>
        <c:crosses val="autoZero"/>
        <c:crossBetween val="between"/>
        <c:majorUnit val="0.2"/>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'Utregning av grafer'!$P$33</c:f>
              <c:strCache>
                <c:ptCount val="1"/>
                <c:pt idx="0">
                  <c:v>Estimert verdi som har miljømerke som tildelingskriterium (%)</c:v>
                </c:pt>
              </c:strCache>
            </c:strRef>
          </c:tx>
          <c:spPr>
            <a:solidFill>
              <a:srgbClr val="012A4C"/>
            </a:solidFill>
            <a:ln>
              <a:noFill/>
            </a:ln>
            <a:effectLst/>
          </c:spPr>
          <c:invertIfNegative val="0"/>
          <c:dPt>
            <c:idx val="0"/>
            <c:invertIfNegative val="0"/>
            <c:bubble3D val="0"/>
            <c:spPr>
              <a:solidFill>
                <a:srgbClr val="012A4C"/>
              </a:solidFill>
              <a:ln>
                <a:noFill/>
              </a:ln>
              <a:effectLst>
                <a:outerShdw blurRad="50800" dist="50800" dir="5400000" sx="1000" sy="1000" algn="ctr" rotWithShape="0">
                  <a:srgbClr val="000000">
                    <a:alpha val="43137"/>
                  </a:srgbClr>
                </a:outerShdw>
              </a:effectLst>
            </c:spPr>
            <c:extLst>
              <c:ext xmlns:c16="http://schemas.microsoft.com/office/drawing/2014/chart" uri="{C3380CC4-5D6E-409C-BE32-E72D297353CC}">
                <c16:uniqueId val="{00000001-25B4-42BA-817B-9FE20C1207E3}"/>
              </c:ext>
            </c:extLst>
          </c:dPt>
          <c:dLbls>
            <c:dLbl>
              <c:idx val="1"/>
              <c:layout>
                <c:manualLayout>
                  <c:x val="-1.0198477006846147E-16"/>
                  <c:y val="-6.7436731687781689E-17"/>
                </c:manualLayout>
              </c:layout>
              <c:dLblPos val="outEnd"/>
              <c:showLegendKey val="0"/>
              <c:showVal val="0"/>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2-25B4-42BA-817B-9FE20C1207E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nb-NO"/>
              </a:p>
            </c:txPr>
            <c:dLblPos val="outEnd"/>
            <c:showLegendKey val="0"/>
            <c:showVal val="0"/>
            <c:showCatName val="1"/>
            <c:showSerName val="0"/>
            <c:showPercent val="0"/>
            <c:showBubbleSize val="0"/>
            <c:separator> </c:separator>
            <c:showLeaderLines val="0"/>
            <c:extLst>
              <c:ext xmlns:c15="http://schemas.microsoft.com/office/drawing/2012/chart" uri="{CE6537A1-D6FC-4f65-9D91-7224C49458BB}">
                <c15:showLeaderLines val="0"/>
              </c:ext>
            </c:extLst>
          </c:dLbls>
          <c:cat>
            <c:strRef>
              <c:f>'Utregning av grafer'!$F$27:$F$29</c:f>
              <c:strCache>
                <c:ptCount val="3"/>
                <c:pt idx="0">
                  <c:v>Statlig virksomhet</c:v>
                </c:pt>
                <c:pt idx="1">
                  <c:v>Kommune </c:v>
                </c:pt>
                <c:pt idx="2">
                  <c:v>Fylkeskommune</c:v>
                </c:pt>
              </c:strCache>
            </c:strRef>
          </c:cat>
          <c:val>
            <c:numRef>
              <c:f>'Utregning av grafer'!$P$34:$P$36</c:f>
              <c:numCache>
                <c:formatCode>0%</c:formatCode>
                <c:ptCount val="3"/>
                <c:pt idx="0">
                  <c:v>4.2498395685562872E-2</c:v>
                </c:pt>
                <c:pt idx="1">
                  <c:v>0.52224824355971899</c:v>
                </c:pt>
                <c:pt idx="2">
                  <c:v>0</c:v>
                </c:pt>
              </c:numCache>
            </c:numRef>
          </c:val>
          <c:extLst>
            <c:ext xmlns:c16="http://schemas.microsoft.com/office/drawing/2014/chart" uri="{C3380CC4-5D6E-409C-BE32-E72D297353CC}">
              <c16:uniqueId val="{00000003-25B4-42BA-817B-9FE20C1207E3}"/>
            </c:ext>
          </c:extLst>
        </c:ser>
        <c:dLbls>
          <c:dLblPos val="outEnd"/>
          <c:showLegendKey val="0"/>
          <c:showVal val="1"/>
          <c:showCatName val="0"/>
          <c:showSerName val="0"/>
          <c:showPercent val="0"/>
          <c:showBubbleSize val="0"/>
        </c:dLbls>
        <c:gapWidth val="57"/>
        <c:axId val="344014608"/>
        <c:axId val="344014936"/>
      </c:barChart>
      <c:catAx>
        <c:axId val="344014608"/>
        <c:scaling>
          <c:orientation val="minMax"/>
        </c:scaling>
        <c:delete val="1"/>
        <c:axPos val="b"/>
        <c:numFmt formatCode="General" sourceLinked="1"/>
        <c:majorTickMark val="out"/>
        <c:minorTickMark val="none"/>
        <c:tickLblPos val="nextTo"/>
        <c:crossAx val="344014936"/>
        <c:crosses val="autoZero"/>
        <c:auto val="1"/>
        <c:lblAlgn val="ctr"/>
        <c:lblOffset val="100"/>
        <c:noMultiLvlLbl val="0"/>
      </c:catAx>
      <c:valAx>
        <c:axId val="344014936"/>
        <c:scaling>
          <c:orientation val="minMax"/>
          <c:max val="1"/>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spPr>
          <a:noFill/>
          <a:ln>
            <a:noFill/>
          </a:ln>
          <a:effectLst/>
        </c:spPr>
        <c:txPr>
          <a:bodyPr rot="-60000000" spcFirstLastPara="1" vertOverflow="ellipsis" vert="horz" wrap="square" anchor="b"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344014608"/>
        <c:crosses val="autoZero"/>
        <c:crossBetween val="between"/>
        <c:minorUnit val="0.2"/>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'Utregning av grafer'!$G$17</c:f>
              <c:strCache>
                <c:ptCount val="1"/>
                <c:pt idx="0">
                  <c:v>Prosent</c:v>
                </c:pt>
              </c:strCache>
            </c:strRef>
          </c:tx>
          <c:spPr>
            <a:solidFill>
              <a:srgbClr val="012A4C"/>
            </a:solidFill>
            <a:ln>
              <a:noFill/>
            </a:ln>
            <a:effectLst/>
          </c:spPr>
          <c:invertIfNegative val="0"/>
          <c:cat>
            <c:strRef>
              <c:f>'Utregning av grafer'!$F$42:$F$44</c:f>
              <c:strCache>
                <c:ptCount val="3"/>
                <c:pt idx="0">
                  <c:v>Statlig virksomhet</c:v>
                </c:pt>
                <c:pt idx="1">
                  <c:v>Kommune </c:v>
                </c:pt>
                <c:pt idx="2">
                  <c:v>Fylkeskommune</c:v>
                </c:pt>
              </c:strCache>
            </c:strRef>
          </c:cat>
          <c:val>
            <c:numRef>
              <c:f>'Utregning av grafer'!$G$42:$G$44</c:f>
              <c:numCache>
                <c:formatCode>0%</c:formatCode>
                <c:ptCount val="3"/>
                <c:pt idx="0">
                  <c:v>0.30769230769230771</c:v>
                </c:pt>
                <c:pt idx="1">
                  <c:v>0.375</c:v>
                </c:pt>
                <c:pt idx="2">
                  <c:v>0.33333333333333331</c:v>
                </c:pt>
              </c:numCache>
            </c:numRef>
          </c:val>
          <c:extLst>
            <c:ext xmlns:c16="http://schemas.microsoft.com/office/drawing/2014/chart" uri="{C3380CC4-5D6E-409C-BE32-E72D297353CC}">
              <c16:uniqueId val="{00000000-E46D-4263-81E6-E3E1FF68D478}"/>
            </c:ext>
          </c:extLst>
        </c:ser>
        <c:dLbls>
          <c:showLegendKey val="0"/>
          <c:showVal val="0"/>
          <c:showCatName val="0"/>
          <c:showSerName val="0"/>
          <c:showPercent val="0"/>
          <c:showBubbleSize val="0"/>
        </c:dLbls>
        <c:gapWidth val="219"/>
        <c:axId val="344014608"/>
        <c:axId val="344014936"/>
      </c:barChart>
      <c:catAx>
        <c:axId val="344014608"/>
        <c:scaling>
          <c:orientation val="minMax"/>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344014936"/>
        <c:crosses val="autoZero"/>
        <c:auto val="1"/>
        <c:lblAlgn val="ctr"/>
        <c:lblOffset val="100"/>
        <c:noMultiLvlLbl val="0"/>
      </c:catAx>
      <c:valAx>
        <c:axId val="344014936"/>
        <c:scaling>
          <c:orientation val="minMax"/>
          <c:max val="1"/>
        </c:scaling>
        <c:delete val="0"/>
        <c:axPos val="b"/>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spPr>
          <a:noFill/>
          <a:ln>
            <a:noFill/>
          </a:ln>
          <a:effectLst/>
        </c:spPr>
        <c:txPr>
          <a:bodyPr rot="-60000000" spcFirstLastPara="1" vertOverflow="ellipsis" vert="horz" wrap="square" anchor="b"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344014608"/>
        <c:crosses val="autoZero"/>
        <c:crossBetween val="between"/>
        <c:majorUnit val="0.2"/>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'Utregning av grafer'!$P$41</c:f>
              <c:strCache>
                <c:ptCount val="1"/>
                <c:pt idx="0">
                  <c:v>Estimert verdi som har miljø som kontraktsvilkår(%)</c:v>
                </c:pt>
              </c:strCache>
            </c:strRef>
          </c:tx>
          <c:spPr>
            <a:solidFill>
              <a:srgbClr val="012A4C"/>
            </a:solidFill>
            <a:ln>
              <a:noFill/>
            </a:ln>
            <a:effectLst/>
          </c:spPr>
          <c:invertIfNegative val="0"/>
          <c:dPt>
            <c:idx val="0"/>
            <c:invertIfNegative val="0"/>
            <c:bubble3D val="0"/>
            <c:spPr>
              <a:solidFill>
                <a:srgbClr val="012A4C"/>
              </a:solidFill>
              <a:ln>
                <a:noFill/>
              </a:ln>
              <a:effectLst>
                <a:outerShdw blurRad="50800" dist="50800" dir="5400000" sx="1000" sy="1000" algn="ctr" rotWithShape="0">
                  <a:srgbClr val="000000">
                    <a:alpha val="43137"/>
                  </a:srgbClr>
                </a:outerShdw>
              </a:effectLst>
            </c:spPr>
            <c:extLst>
              <c:ext xmlns:c16="http://schemas.microsoft.com/office/drawing/2014/chart" uri="{C3380CC4-5D6E-409C-BE32-E72D297353CC}">
                <c16:uniqueId val="{00000001-B062-4634-8C99-BF5B9861D8BD}"/>
              </c:ext>
            </c:extLst>
          </c:dPt>
          <c:dLbls>
            <c:dLbl>
              <c:idx val="1"/>
              <c:layout>
                <c:manualLayout>
                  <c:x val="-1.0198477006846147E-16"/>
                  <c:y val="-6.7436731687781689E-17"/>
                </c:manualLayout>
              </c:layout>
              <c:dLblPos val="outEnd"/>
              <c:showLegendKey val="0"/>
              <c:showVal val="0"/>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2-B062-4634-8C99-BF5B9861D8BD}"/>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nb-NO"/>
              </a:p>
            </c:txPr>
            <c:dLblPos val="outEnd"/>
            <c:showLegendKey val="0"/>
            <c:showVal val="0"/>
            <c:showCatName val="1"/>
            <c:showSerName val="0"/>
            <c:showPercent val="0"/>
            <c:showBubbleSize val="0"/>
            <c:separator> </c:separator>
            <c:showLeaderLines val="0"/>
            <c:extLst>
              <c:ext xmlns:c15="http://schemas.microsoft.com/office/drawing/2012/chart" uri="{CE6537A1-D6FC-4f65-9D91-7224C49458BB}">
                <c15:showLeaderLines val="0"/>
              </c:ext>
            </c:extLst>
          </c:dLbls>
          <c:cat>
            <c:strRef>
              <c:f>'Utregning av grafer'!$F$27:$F$29</c:f>
              <c:strCache>
                <c:ptCount val="3"/>
                <c:pt idx="0">
                  <c:v>Statlig virksomhet</c:v>
                </c:pt>
                <c:pt idx="1">
                  <c:v>Kommune </c:v>
                </c:pt>
                <c:pt idx="2">
                  <c:v>Fylkeskommune</c:v>
                </c:pt>
              </c:strCache>
            </c:strRef>
          </c:cat>
          <c:val>
            <c:numRef>
              <c:f>'Utregning av grafer'!$P$42:$P$44</c:f>
              <c:numCache>
                <c:formatCode>0%</c:formatCode>
                <c:ptCount val="3"/>
                <c:pt idx="0">
                  <c:v>0.34076630273873826</c:v>
                </c:pt>
                <c:pt idx="1">
                  <c:v>0.49086651053864166</c:v>
                </c:pt>
                <c:pt idx="2">
                  <c:v>0.9400705052878966</c:v>
                </c:pt>
              </c:numCache>
            </c:numRef>
          </c:val>
          <c:extLst>
            <c:ext xmlns:c16="http://schemas.microsoft.com/office/drawing/2014/chart" uri="{C3380CC4-5D6E-409C-BE32-E72D297353CC}">
              <c16:uniqueId val="{00000003-B062-4634-8C99-BF5B9861D8BD}"/>
            </c:ext>
          </c:extLst>
        </c:ser>
        <c:dLbls>
          <c:dLblPos val="outEnd"/>
          <c:showLegendKey val="0"/>
          <c:showVal val="1"/>
          <c:showCatName val="0"/>
          <c:showSerName val="0"/>
          <c:showPercent val="0"/>
          <c:showBubbleSize val="0"/>
        </c:dLbls>
        <c:gapWidth val="57"/>
        <c:axId val="344014608"/>
        <c:axId val="344014936"/>
      </c:barChart>
      <c:catAx>
        <c:axId val="344014608"/>
        <c:scaling>
          <c:orientation val="minMax"/>
        </c:scaling>
        <c:delete val="1"/>
        <c:axPos val="b"/>
        <c:numFmt formatCode="General" sourceLinked="1"/>
        <c:majorTickMark val="out"/>
        <c:minorTickMark val="none"/>
        <c:tickLblPos val="nextTo"/>
        <c:crossAx val="344014936"/>
        <c:crosses val="autoZero"/>
        <c:auto val="1"/>
        <c:lblAlgn val="ctr"/>
        <c:lblOffset val="100"/>
        <c:noMultiLvlLbl val="0"/>
      </c:catAx>
      <c:valAx>
        <c:axId val="344014936"/>
        <c:scaling>
          <c:orientation val="minMax"/>
          <c:max val="1"/>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spPr>
          <a:noFill/>
          <a:ln>
            <a:noFill/>
          </a:ln>
          <a:effectLst/>
        </c:spPr>
        <c:txPr>
          <a:bodyPr rot="-60000000" spcFirstLastPara="1" vertOverflow="ellipsis" vert="horz" wrap="square" anchor="b"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344014608"/>
        <c:crosses val="autoZero"/>
        <c:crossBetween val="between"/>
        <c:minorUnit val="0.2"/>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'Utregning av grafer'!$G$17</c:f>
              <c:strCache>
                <c:ptCount val="1"/>
                <c:pt idx="0">
                  <c:v>Prosent</c:v>
                </c:pt>
              </c:strCache>
            </c:strRef>
          </c:tx>
          <c:spPr>
            <a:solidFill>
              <a:srgbClr val="012A4C"/>
            </a:solidFill>
            <a:ln>
              <a:noFill/>
            </a:ln>
            <a:effectLst/>
          </c:spPr>
          <c:invertIfNegative val="0"/>
          <c:cat>
            <c:strRef>
              <c:f>'Utregning av grafer'!$F$50:$F$52</c:f>
              <c:strCache>
                <c:ptCount val="3"/>
                <c:pt idx="0">
                  <c:v>Statlig virksomhet</c:v>
                </c:pt>
                <c:pt idx="1">
                  <c:v>Kommune </c:v>
                </c:pt>
                <c:pt idx="2">
                  <c:v>Fylkeskommune</c:v>
                </c:pt>
              </c:strCache>
            </c:strRef>
          </c:cat>
          <c:val>
            <c:numRef>
              <c:f>'Utregning av grafer'!$G$50:$G$52</c:f>
              <c:numCache>
                <c:formatCode>0%</c:formatCode>
                <c:ptCount val="3"/>
                <c:pt idx="0">
                  <c:v>0.30769230769230771</c:v>
                </c:pt>
                <c:pt idx="1">
                  <c:v>0.25</c:v>
                </c:pt>
                <c:pt idx="2">
                  <c:v>0.33333333333333331</c:v>
                </c:pt>
              </c:numCache>
            </c:numRef>
          </c:val>
          <c:extLst>
            <c:ext xmlns:c16="http://schemas.microsoft.com/office/drawing/2014/chart" uri="{C3380CC4-5D6E-409C-BE32-E72D297353CC}">
              <c16:uniqueId val="{00000000-4D19-4989-B64C-187A46BC65C9}"/>
            </c:ext>
          </c:extLst>
        </c:ser>
        <c:dLbls>
          <c:showLegendKey val="0"/>
          <c:showVal val="0"/>
          <c:showCatName val="0"/>
          <c:showSerName val="0"/>
          <c:showPercent val="0"/>
          <c:showBubbleSize val="0"/>
        </c:dLbls>
        <c:gapWidth val="219"/>
        <c:axId val="344014608"/>
        <c:axId val="344014936"/>
      </c:barChart>
      <c:catAx>
        <c:axId val="344014608"/>
        <c:scaling>
          <c:orientation val="minMax"/>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344014936"/>
        <c:crosses val="autoZero"/>
        <c:auto val="1"/>
        <c:lblAlgn val="ctr"/>
        <c:lblOffset val="100"/>
        <c:noMultiLvlLbl val="0"/>
      </c:catAx>
      <c:valAx>
        <c:axId val="344014936"/>
        <c:scaling>
          <c:orientation val="minMax"/>
          <c:max val="1"/>
        </c:scaling>
        <c:delete val="0"/>
        <c:axPos val="b"/>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spPr>
          <a:noFill/>
          <a:ln>
            <a:noFill/>
          </a:ln>
          <a:effectLst/>
        </c:spPr>
        <c:txPr>
          <a:bodyPr rot="-60000000" spcFirstLastPara="1" vertOverflow="ellipsis" vert="horz" wrap="square" anchor="b"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344014608"/>
        <c:crosses val="autoZero"/>
        <c:crossBetween val="between"/>
        <c:majorUnit val="0.2"/>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'Utregning av grafer'!$P$49</c:f>
              <c:strCache>
                <c:ptCount val="1"/>
                <c:pt idx="0">
                  <c:v>Estimert verdi som har miljø som kvalifikasjonskrav(%)</c:v>
                </c:pt>
              </c:strCache>
            </c:strRef>
          </c:tx>
          <c:spPr>
            <a:solidFill>
              <a:srgbClr val="012A4C"/>
            </a:solidFill>
            <a:ln>
              <a:noFill/>
            </a:ln>
            <a:effectLst/>
          </c:spPr>
          <c:invertIfNegative val="0"/>
          <c:dPt>
            <c:idx val="0"/>
            <c:invertIfNegative val="0"/>
            <c:bubble3D val="0"/>
            <c:spPr>
              <a:solidFill>
                <a:srgbClr val="012A4C"/>
              </a:solidFill>
              <a:ln>
                <a:noFill/>
              </a:ln>
              <a:effectLst>
                <a:outerShdw blurRad="50800" dist="50800" dir="5400000" sx="1000" sy="1000" algn="ctr" rotWithShape="0">
                  <a:srgbClr val="000000">
                    <a:alpha val="43137"/>
                  </a:srgbClr>
                </a:outerShdw>
              </a:effectLst>
            </c:spPr>
            <c:extLst>
              <c:ext xmlns:c16="http://schemas.microsoft.com/office/drawing/2014/chart" uri="{C3380CC4-5D6E-409C-BE32-E72D297353CC}">
                <c16:uniqueId val="{00000001-B921-4216-85F6-4E7D1CDE81B6}"/>
              </c:ext>
            </c:extLst>
          </c:dPt>
          <c:dLbls>
            <c:dLbl>
              <c:idx val="1"/>
              <c:layout>
                <c:manualLayout>
                  <c:x val="-1.0198477006846147E-16"/>
                  <c:y val="-6.7436731687781689E-17"/>
                </c:manualLayout>
              </c:layout>
              <c:dLblPos val="outEnd"/>
              <c:showLegendKey val="0"/>
              <c:showVal val="0"/>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2-B921-4216-85F6-4E7D1CDE81B6}"/>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nb-NO"/>
              </a:p>
            </c:txPr>
            <c:dLblPos val="outEnd"/>
            <c:showLegendKey val="0"/>
            <c:showVal val="0"/>
            <c:showCatName val="1"/>
            <c:showSerName val="0"/>
            <c:showPercent val="0"/>
            <c:showBubbleSize val="0"/>
            <c:separator> </c:separator>
            <c:showLeaderLines val="0"/>
            <c:extLst>
              <c:ext xmlns:c15="http://schemas.microsoft.com/office/drawing/2012/chart" uri="{CE6537A1-D6FC-4f65-9D91-7224C49458BB}">
                <c15:showLeaderLines val="0"/>
              </c:ext>
            </c:extLst>
          </c:dLbls>
          <c:cat>
            <c:strRef>
              <c:f>'Utregning av grafer'!$F$27:$F$29</c:f>
              <c:strCache>
                <c:ptCount val="3"/>
                <c:pt idx="0">
                  <c:v>Statlig virksomhet</c:v>
                </c:pt>
                <c:pt idx="1">
                  <c:v>Kommune </c:v>
                </c:pt>
                <c:pt idx="2">
                  <c:v>Fylkeskommune</c:v>
                </c:pt>
              </c:strCache>
            </c:strRef>
          </c:cat>
          <c:val>
            <c:numRef>
              <c:f>'Utregning av grafer'!$P$50:$P$52</c:f>
              <c:numCache>
                <c:formatCode>0%</c:formatCode>
                <c:ptCount val="3"/>
                <c:pt idx="0">
                  <c:v>0.43036708697580001</c:v>
                </c:pt>
                <c:pt idx="1">
                  <c:v>0.55971896955503508</c:v>
                </c:pt>
                <c:pt idx="2">
                  <c:v>0.9400705052878966</c:v>
                </c:pt>
              </c:numCache>
            </c:numRef>
          </c:val>
          <c:extLst>
            <c:ext xmlns:c16="http://schemas.microsoft.com/office/drawing/2014/chart" uri="{C3380CC4-5D6E-409C-BE32-E72D297353CC}">
              <c16:uniqueId val="{00000003-B921-4216-85F6-4E7D1CDE81B6}"/>
            </c:ext>
          </c:extLst>
        </c:ser>
        <c:dLbls>
          <c:dLblPos val="outEnd"/>
          <c:showLegendKey val="0"/>
          <c:showVal val="1"/>
          <c:showCatName val="0"/>
          <c:showSerName val="0"/>
          <c:showPercent val="0"/>
          <c:showBubbleSize val="0"/>
        </c:dLbls>
        <c:gapWidth val="57"/>
        <c:axId val="344014608"/>
        <c:axId val="344014936"/>
      </c:barChart>
      <c:catAx>
        <c:axId val="344014608"/>
        <c:scaling>
          <c:orientation val="minMax"/>
        </c:scaling>
        <c:delete val="1"/>
        <c:axPos val="b"/>
        <c:numFmt formatCode="General" sourceLinked="1"/>
        <c:majorTickMark val="out"/>
        <c:minorTickMark val="none"/>
        <c:tickLblPos val="nextTo"/>
        <c:crossAx val="344014936"/>
        <c:crosses val="autoZero"/>
        <c:auto val="1"/>
        <c:lblAlgn val="ctr"/>
        <c:lblOffset val="100"/>
        <c:noMultiLvlLbl val="0"/>
      </c:catAx>
      <c:valAx>
        <c:axId val="344014936"/>
        <c:scaling>
          <c:orientation val="minMax"/>
          <c:max val="1"/>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spPr>
          <a:noFill/>
          <a:ln>
            <a:noFill/>
          </a:ln>
          <a:effectLst/>
        </c:spPr>
        <c:txPr>
          <a:bodyPr rot="-60000000" spcFirstLastPara="1" vertOverflow="ellipsis" vert="horz" wrap="square" anchor="b"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344014608"/>
        <c:crosses val="autoZero"/>
        <c:crossBetween val="between"/>
        <c:minorUnit val="0.2"/>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'Utregning av grafer'!$G$17</c:f>
              <c:strCache>
                <c:ptCount val="1"/>
                <c:pt idx="0">
                  <c:v>Prosent</c:v>
                </c:pt>
              </c:strCache>
            </c:strRef>
          </c:tx>
          <c:spPr>
            <a:solidFill>
              <a:srgbClr val="012A4C"/>
            </a:solidFill>
            <a:ln>
              <a:noFill/>
            </a:ln>
            <a:effectLst/>
          </c:spPr>
          <c:invertIfNegative val="0"/>
          <c:cat>
            <c:strRef>
              <c:f>'Utregning av grafer'!$F$58:$F$60</c:f>
              <c:strCache>
                <c:ptCount val="3"/>
                <c:pt idx="0">
                  <c:v>Statlig virksomhet</c:v>
                </c:pt>
                <c:pt idx="1">
                  <c:v>Kommune </c:v>
                </c:pt>
                <c:pt idx="2">
                  <c:v>Fylkeskommune</c:v>
                </c:pt>
              </c:strCache>
            </c:strRef>
          </c:cat>
          <c:val>
            <c:numRef>
              <c:f>'Utregning av grafer'!$G$58:$G$60</c:f>
              <c:numCache>
                <c:formatCode>0%</c:formatCode>
                <c:ptCount val="3"/>
                <c:pt idx="0">
                  <c:v>0.84615384615384615</c:v>
                </c:pt>
                <c:pt idx="1">
                  <c:v>0.70833333333333337</c:v>
                </c:pt>
                <c:pt idx="2">
                  <c:v>1</c:v>
                </c:pt>
              </c:numCache>
            </c:numRef>
          </c:val>
          <c:extLst>
            <c:ext xmlns:c16="http://schemas.microsoft.com/office/drawing/2014/chart" uri="{C3380CC4-5D6E-409C-BE32-E72D297353CC}">
              <c16:uniqueId val="{00000000-80EE-493D-9EE1-786216245D21}"/>
            </c:ext>
          </c:extLst>
        </c:ser>
        <c:dLbls>
          <c:showLegendKey val="0"/>
          <c:showVal val="0"/>
          <c:showCatName val="0"/>
          <c:showSerName val="0"/>
          <c:showPercent val="0"/>
          <c:showBubbleSize val="0"/>
        </c:dLbls>
        <c:gapWidth val="219"/>
        <c:axId val="344014608"/>
        <c:axId val="344014936"/>
      </c:barChart>
      <c:catAx>
        <c:axId val="344014608"/>
        <c:scaling>
          <c:orientation val="minMax"/>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344014936"/>
        <c:crosses val="autoZero"/>
        <c:auto val="1"/>
        <c:lblAlgn val="ctr"/>
        <c:lblOffset val="100"/>
        <c:noMultiLvlLbl val="0"/>
      </c:catAx>
      <c:valAx>
        <c:axId val="344014936"/>
        <c:scaling>
          <c:orientation val="minMax"/>
          <c:max val="1"/>
        </c:scaling>
        <c:delete val="0"/>
        <c:axPos val="b"/>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spPr>
          <a:noFill/>
          <a:ln>
            <a:noFill/>
          </a:ln>
          <a:effectLst/>
        </c:spPr>
        <c:txPr>
          <a:bodyPr rot="-60000000" spcFirstLastPara="1" vertOverflow="ellipsis" vert="horz" wrap="square" anchor="b"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344014608"/>
        <c:crosses val="autoZero"/>
        <c:crossBetween val="between"/>
        <c:majorUnit val="0.2"/>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'Utregning av grafer'!$P$57</c:f>
              <c:strCache>
                <c:ptCount val="1"/>
                <c:pt idx="0">
                  <c:v>Estimert verdi som har miljø som kravspesifikasjon(%)</c:v>
                </c:pt>
              </c:strCache>
            </c:strRef>
          </c:tx>
          <c:spPr>
            <a:solidFill>
              <a:srgbClr val="012A4C"/>
            </a:solidFill>
            <a:ln>
              <a:noFill/>
            </a:ln>
            <a:effectLst/>
          </c:spPr>
          <c:invertIfNegative val="0"/>
          <c:dPt>
            <c:idx val="0"/>
            <c:invertIfNegative val="0"/>
            <c:bubble3D val="0"/>
            <c:spPr>
              <a:solidFill>
                <a:srgbClr val="012A4C"/>
              </a:solidFill>
              <a:ln>
                <a:noFill/>
              </a:ln>
              <a:effectLst>
                <a:outerShdw blurRad="50800" dist="50800" dir="5400000" sx="1000" sy="1000" algn="ctr" rotWithShape="0">
                  <a:srgbClr val="000000">
                    <a:alpha val="43137"/>
                  </a:srgbClr>
                </a:outerShdw>
              </a:effectLst>
            </c:spPr>
            <c:extLst>
              <c:ext xmlns:c16="http://schemas.microsoft.com/office/drawing/2014/chart" uri="{C3380CC4-5D6E-409C-BE32-E72D297353CC}">
                <c16:uniqueId val="{00000001-4E11-4EFB-9882-7E0FAE62A776}"/>
              </c:ext>
            </c:extLst>
          </c:dPt>
          <c:dLbls>
            <c:dLbl>
              <c:idx val="1"/>
              <c:layout>
                <c:manualLayout>
                  <c:x val="-1.0198477006846147E-16"/>
                  <c:y val="-6.7436731687781689E-17"/>
                </c:manualLayout>
              </c:layout>
              <c:dLblPos val="outEnd"/>
              <c:showLegendKey val="0"/>
              <c:showVal val="0"/>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2-4E11-4EFB-9882-7E0FAE62A776}"/>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nb-NO"/>
              </a:p>
            </c:txPr>
            <c:dLblPos val="outEnd"/>
            <c:showLegendKey val="0"/>
            <c:showVal val="0"/>
            <c:showCatName val="1"/>
            <c:showSerName val="0"/>
            <c:showPercent val="0"/>
            <c:showBubbleSize val="0"/>
            <c:separator> </c:separator>
            <c:showLeaderLines val="0"/>
            <c:extLst>
              <c:ext xmlns:c15="http://schemas.microsoft.com/office/drawing/2012/chart" uri="{CE6537A1-D6FC-4f65-9D91-7224C49458BB}">
                <c15:showLeaderLines val="0"/>
              </c:ext>
            </c:extLst>
          </c:dLbls>
          <c:cat>
            <c:strRef>
              <c:f>'Utregning av grafer'!$F$27:$F$29</c:f>
              <c:strCache>
                <c:ptCount val="3"/>
                <c:pt idx="0">
                  <c:v>Statlig virksomhet</c:v>
                </c:pt>
                <c:pt idx="1">
                  <c:v>Kommune </c:v>
                </c:pt>
                <c:pt idx="2">
                  <c:v>Fylkeskommune</c:v>
                </c:pt>
              </c:strCache>
            </c:strRef>
          </c:cat>
          <c:val>
            <c:numRef>
              <c:f>'Utregning av grafer'!$P$58:$P$60</c:f>
              <c:numCache>
                <c:formatCode>0%</c:formatCode>
                <c:ptCount val="3"/>
                <c:pt idx="0">
                  <c:v>0.97591757577818106</c:v>
                </c:pt>
                <c:pt idx="1">
                  <c:v>0.89086651053864163</c:v>
                </c:pt>
                <c:pt idx="2">
                  <c:v>1</c:v>
                </c:pt>
              </c:numCache>
            </c:numRef>
          </c:val>
          <c:extLst>
            <c:ext xmlns:c16="http://schemas.microsoft.com/office/drawing/2014/chart" uri="{C3380CC4-5D6E-409C-BE32-E72D297353CC}">
              <c16:uniqueId val="{00000003-4E11-4EFB-9882-7E0FAE62A776}"/>
            </c:ext>
          </c:extLst>
        </c:ser>
        <c:dLbls>
          <c:dLblPos val="outEnd"/>
          <c:showLegendKey val="0"/>
          <c:showVal val="1"/>
          <c:showCatName val="0"/>
          <c:showSerName val="0"/>
          <c:showPercent val="0"/>
          <c:showBubbleSize val="0"/>
        </c:dLbls>
        <c:gapWidth val="57"/>
        <c:axId val="344014608"/>
        <c:axId val="344014936"/>
      </c:barChart>
      <c:catAx>
        <c:axId val="344014608"/>
        <c:scaling>
          <c:orientation val="minMax"/>
        </c:scaling>
        <c:delete val="1"/>
        <c:axPos val="b"/>
        <c:numFmt formatCode="General" sourceLinked="1"/>
        <c:majorTickMark val="out"/>
        <c:minorTickMark val="none"/>
        <c:tickLblPos val="nextTo"/>
        <c:crossAx val="344014936"/>
        <c:crosses val="autoZero"/>
        <c:auto val="1"/>
        <c:lblAlgn val="ctr"/>
        <c:lblOffset val="100"/>
        <c:noMultiLvlLbl val="0"/>
      </c:catAx>
      <c:valAx>
        <c:axId val="344014936"/>
        <c:scaling>
          <c:orientation val="minMax"/>
          <c:max val="1"/>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spPr>
          <a:noFill/>
          <a:ln>
            <a:noFill/>
          </a:ln>
          <a:effectLst/>
        </c:spPr>
        <c:txPr>
          <a:bodyPr rot="-60000000" spcFirstLastPara="1" vertOverflow="ellipsis" vert="horz" wrap="square" anchor="b"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344014608"/>
        <c:crosses val="autoZero"/>
        <c:crossBetween val="between"/>
        <c:minorUnit val="0.2"/>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'Utregning av grafer'!$G$17</c:f>
              <c:strCache>
                <c:ptCount val="1"/>
                <c:pt idx="0">
                  <c:v>Prosent</c:v>
                </c:pt>
              </c:strCache>
            </c:strRef>
          </c:tx>
          <c:spPr>
            <a:solidFill>
              <a:srgbClr val="012A4C"/>
            </a:solidFill>
            <a:ln>
              <a:noFill/>
            </a:ln>
            <a:effectLst/>
          </c:spPr>
          <c:invertIfNegative val="0"/>
          <c:cat>
            <c:strRef>
              <c:f>'Utregning av grafer'!$F$66:$F$68</c:f>
              <c:strCache>
                <c:ptCount val="3"/>
                <c:pt idx="0">
                  <c:v>Statlig virksomhet</c:v>
                </c:pt>
                <c:pt idx="1">
                  <c:v>Kommune </c:v>
                </c:pt>
                <c:pt idx="2">
                  <c:v>Fylkeskommune</c:v>
                </c:pt>
              </c:strCache>
            </c:strRef>
          </c:cat>
          <c:val>
            <c:numRef>
              <c:f>'Utregning av grafer'!$G$66:$G$68</c:f>
              <c:numCache>
                <c:formatCode>0%</c:formatCode>
                <c:ptCount val="3"/>
                <c:pt idx="0">
                  <c:v>0.38461538461538464</c:v>
                </c:pt>
                <c:pt idx="1">
                  <c:v>0.45833333333333331</c:v>
                </c:pt>
                <c:pt idx="2">
                  <c:v>0.33333333333333331</c:v>
                </c:pt>
              </c:numCache>
            </c:numRef>
          </c:val>
          <c:extLst>
            <c:ext xmlns:c16="http://schemas.microsoft.com/office/drawing/2014/chart" uri="{C3380CC4-5D6E-409C-BE32-E72D297353CC}">
              <c16:uniqueId val="{00000000-0B9C-4BAE-863C-3F64B5B7A5CC}"/>
            </c:ext>
          </c:extLst>
        </c:ser>
        <c:dLbls>
          <c:showLegendKey val="0"/>
          <c:showVal val="0"/>
          <c:showCatName val="0"/>
          <c:showSerName val="0"/>
          <c:showPercent val="0"/>
          <c:showBubbleSize val="0"/>
        </c:dLbls>
        <c:gapWidth val="219"/>
        <c:axId val="344014608"/>
        <c:axId val="344014936"/>
      </c:barChart>
      <c:catAx>
        <c:axId val="344014608"/>
        <c:scaling>
          <c:orientation val="minMax"/>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344014936"/>
        <c:crosses val="autoZero"/>
        <c:auto val="1"/>
        <c:lblAlgn val="ctr"/>
        <c:lblOffset val="100"/>
        <c:noMultiLvlLbl val="0"/>
      </c:catAx>
      <c:valAx>
        <c:axId val="344014936"/>
        <c:scaling>
          <c:orientation val="minMax"/>
          <c:max val="1"/>
        </c:scaling>
        <c:delete val="0"/>
        <c:axPos val="b"/>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spPr>
          <a:noFill/>
          <a:ln>
            <a:noFill/>
          </a:ln>
          <a:effectLst/>
        </c:spPr>
        <c:txPr>
          <a:bodyPr rot="-60000000" spcFirstLastPara="1" vertOverflow="ellipsis" vert="horz" wrap="square" anchor="b"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344014608"/>
        <c:crosses val="autoZero"/>
        <c:crossBetween val="between"/>
        <c:majorUnit val="0.2"/>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'Utregning av grafer'!$P$65</c:f>
              <c:strCache>
                <c:ptCount val="1"/>
                <c:pt idx="0">
                  <c:v>Estimert verdi som har krav til miljøledelsessystem</c:v>
                </c:pt>
              </c:strCache>
            </c:strRef>
          </c:tx>
          <c:spPr>
            <a:solidFill>
              <a:srgbClr val="012A4C"/>
            </a:solidFill>
            <a:ln>
              <a:noFill/>
            </a:ln>
            <a:effectLst/>
          </c:spPr>
          <c:invertIfNegative val="0"/>
          <c:dPt>
            <c:idx val="0"/>
            <c:invertIfNegative val="0"/>
            <c:bubble3D val="0"/>
            <c:spPr>
              <a:solidFill>
                <a:srgbClr val="012A4C"/>
              </a:solidFill>
              <a:ln>
                <a:noFill/>
              </a:ln>
              <a:effectLst>
                <a:outerShdw blurRad="50800" dist="50800" dir="5400000" sx="1000" sy="1000" algn="ctr" rotWithShape="0">
                  <a:srgbClr val="000000">
                    <a:alpha val="43137"/>
                  </a:srgbClr>
                </a:outerShdw>
              </a:effectLst>
            </c:spPr>
            <c:extLst>
              <c:ext xmlns:c16="http://schemas.microsoft.com/office/drawing/2014/chart" uri="{C3380CC4-5D6E-409C-BE32-E72D297353CC}">
                <c16:uniqueId val="{00000001-B306-42BC-BE82-2F8832BA166A}"/>
              </c:ext>
            </c:extLst>
          </c:dPt>
          <c:dLbls>
            <c:dLbl>
              <c:idx val="1"/>
              <c:layout>
                <c:manualLayout>
                  <c:x val="-1.0198477006846147E-16"/>
                  <c:y val="-6.7436731687781689E-17"/>
                </c:manualLayout>
              </c:layout>
              <c:dLblPos val="outEnd"/>
              <c:showLegendKey val="0"/>
              <c:showVal val="0"/>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2-B306-42BC-BE82-2F8832BA166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nb-NO"/>
              </a:p>
            </c:txPr>
            <c:dLblPos val="outEnd"/>
            <c:showLegendKey val="0"/>
            <c:showVal val="0"/>
            <c:showCatName val="1"/>
            <c:showSerName val="0"/>
            <c:showPercent val="0"/>
            <c:showBubbleSize val="0"/>
            <c:separator> </c:separator>
            <c:showLeaderLines val="0"/>
            <c:extLst>
              <c:ext xmlns:c15="http://schemas.microsoft.com/office/drawing/2012/chart" uri="{CE6537A1-D6FC-4f65-9D91-7224C49458BB}">
                <c15:showLeaderLines val="0"/>
              </c:ext>
            </c:extLst>
          </c:dLbls>
          <c:cat>
            <c:strRef>
              <c:f>'Utregning av grafer'!$F$27:$F$29</c:f>
              <c:strCache>
                <c:ptCount val="3"/>
                <c:pt idx="0">
                  <c:v>Statlig virksomhet</c:v>
                </c:pt>
                <c:pt idx="1">
                  <c:v>Kommune </c:v>
                </c:pt>
                <c:pt idx="2">
                  <c:v>Fylkeskommune</c:v>
                </c:pt>
              </c:strCache>
            </c:strRef>
          </c:cat>
          <c:val>
            <c:numRef>
              <c:f>'Utregning av grafer'!$P$66:$P$68</c:f>
              <c:numCache>
                <c:formatCode>0%</c:formatCode>
                <c:ptCount val="3"/>
                <c:pt idx="0">
                  <c:v>0.43220726750898486</c:v>
                </c:pt>
                <c:pt idx="1">
                  <c:v>0.67213114754098358</c:v>
                </c:pt>
                <c:pt idx="2">
                  <c:v>0.9400705052878966</c:v>
                </c:pt>
              </c:numCache>
            </c:numRef>
          </c:val>
          <c:extLst>
            <c:ext xmlns:c16="http://schemas.microsoft.com/office/drawing/2014/chart" uri="{C3380CC4-5D6E-409C-BE32-E72D297353CC}">
              <c16:uniqueId val="{00000003-B306-42BC-BE82-2F8832BA166A}"/>
            </c:ext>
          </c:extLst>
        </c:ser>
        <c:dLbls>
          <c:dLblPos val="outEnd"/>
          <c:showLegendKey val="0"/>
          <c:showVal val="1"/>
          <c:showCatName val="0"/>
          <c:showSerName val="0"/>
          <c:showPercent val="0"/>
          <c:showBubbleSize val="0"/>
        </c:dLbls>
        <c:gapWidth val="57"/>
        <c:axId val="344014608"/>
        <c:axId val="344014936"/>
      </c:barChart>
      <c:catAx>
        <c:axId val="344014608"/>
        <c:scaling>
          <c:orientation val="minMax"/>
        </c:scaling>
        <c:delete val="1"/>
        <c:axPos val="b"/>
        <c:numFmt formatCode="General" sourceLinked="1"/>
        <c:majorTickMark val="out"/>
        <c:minorTickMark val="none"/>
        <c:tickLblPos val="nextTo"/>
        <c:crossAx val="344014936"/>
        <c:crosses val="autoZero"/>
        <c:auto val="1"/>
        <c:lblAlgn val="ctr"/>
        <c:lblOffset val="100"/>
        <c:noMultiLvlLbl val="0"/>
      </c:catAx>
      <c:valAx>
        <c:axId val="344014936"/>
        <c:scaling>
          <c:orientation val="minMax"/>
          <c:max val="1"/>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spPr>
          <a:noFill/>
          <a:ln>
            <a:noFill/>
          </a:ln>
          <a:effectLst/>
        </c:spPr>
        <c:txPr>
          <a:bodyPr rot="-60000000" spcFirstLastPara="1" vertOverflow="ellipsis" vert="horz" wrap="square" anchor="b"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344014608"/>
        <c:crosses val="autoZero"/>
        <c:crossBetween val="between"/>
        <c:minorUnit val="0.2"/>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'Utregning av grafer'!$G$17</c:f>
              <c:strCache>
                <c:ptCount val="1"/>
                <c:pt idx="0">
                  <c:v>Prosent</c:v>
                </c:pt>
              </c:strCache>
            </c:strRef>
          </c:tx>
          <c:spPr>
            <a:solidFill>
              <a:srgbClr val="012A4C"/>
            </a:solidFill>
            <a:ln>
              <a:noFill/>
            </a:ln>
            <a:effectLst/>
          </c:spPr>
          <c:invertIfNegative val="0"/>
          <c:cat>
            <c:strRef>
              <c:f>'Utregning av grafer'!$F$74:$F$76</c:f>
              <c:strCache>
                <c:ptCount val="3"/>
                <c:pt idx="0">
                  <c:v>Statlig virksomhet</c:v>
                </c:pt>
                <c:pt idx="1">
                  <c:v>Kommune </c:v>
                </c:pt>
                <c:pt idx="2">
                  <c:v>Fylkeskommune</c:v>
                </c:pt>
              </c:strCache>
            </c:strRef>
          </c:cat>
          <c:val>
            <c:numRef>
              <c:f>'Utregning av grafer'!$G$74:$G$76</c:f>
              <c:numCache>
                <c:formatCode>0%</c:formatCode>
                <c:ptCount val="3"/>
                <c:pt idx="0">
                  <c:v>0.38461538461538464</c:v>
                </c:pt>
                <c:pt idx="1">
                  <c:v>0.5</c:v>
                </c:pt>
                <c:pt idx="2">
                  <c:v>0</c:v>
                </c:pt>
              </c:numCache>
            </c:numRef>
          </c:val>
          <c:extLst>
            <c:ext xmlns:c16="http://schemas.microsoft.com/office/drawing/2014/chart" uri="{C3380CC4-5D6E-409C-BE32-E72D297353CC}">
              <c16:uniqueId val="{00000000-9F95-47BB-AD94-C15DFC08E61F}"/>
            </c:ext>
          </c:extLst>
        </c:ser>
        <c:dLbls>
          <c:showLegendKey val="0"/>
          <c:showVal val="0"/>
          <c:showCatName val="0"/>
          <c:showSerName val="0"/>
          <c:showPercent val="0"/>
          <c:showBubbleSize val="0"/>
        </c:dLbls>
        <c:gapWidth val="219"/>
        <c:axId val="344014608"/>
        <c:axId val="344014936"/>
      </c:barChart>
      <c:catAx>
        <c:axId val="344014608"/>
        <c:scaling>
          <c:orientation val="minMax"/>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344014936"/>
        <c:crosses val="autoZero"/>
        <c:auto val="1"/>
        <c:lblAlgn val="ctr"/>
        <c:lblOffset val="100"/>
        <c:noMultiLvlLbl val="0"/>
      </c:catAx>
      <c:valAx>
        <c:axId val="344014936"/>
        <c:scaling>
          <c:orientation val="minMax"/>
          <c:max val="1"/>
        </c:scaling>
        <c:delete val="0"/>
        <c:axPos val="b"/>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spPr>
          <a:noFill/>
          <a:ln>
            <a:noFill/>
          </a:ln>
          <a:effectLst/>
        </c:spPr>
        <c:txPr>
          <a:bodyPr rot="-60000000" spcFirstLastPara="1" vertOverflow="ellipsis" vert="horz" wrap="square" anchor="b"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344014608"/>
        <c:crosses val="autoZero"/>
        <c:crossBetween val="between"/>
        <c:majorUnit val="0.2"/>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'Utregning av grafer'!$P$73</c:f>
              <c:strCache>
                <c:ptCount val="1"/>
                <c:pt idx="0">
                  <c:v>Estimert verdi som har krav til Type 1 - miljømerke</c:v>
                </c:pt>
              </c:strCache>
            </c:strRef>
          </c:tx>
          <c:spPr>
            <a:solidFill>
              <a:srgbClr val="012A4C"/>
            </a:solidFill>
            <a:ln>
              <a:noFill/>
            </a:ln>
            <a:effectLst/>
          </c:spPr>
          <c:invertIfNegative val="0"/>
          <c:dPt>
            <c:idx val="0"/>
            <c:invertIfNegative val="0"/>
            <c:bubble3D val="0"/>
            <c:spPr>
              <a:solidFill>
                <a:srgbClr val="012A4C"/>
              </a:solidFill>
              <a:ln>
                <a:noFill/>
              </a:ln>
              <a:effectLst>
                <a:outerShdw blurRad="50800" dist="50800" dir="5400000" sx="1000" sy="1000" algn="ctr" rotWithShape="0">
                  <a:srgbClr val="000000">
                    <a:alpha val="43137"/>
                  </a:srgbClr>
                </a:outerShdw>
              </a:effectLst>
            </c:spPr>
            <c:extLst>
              <c:ext xmlns:c16="http://schemas.microsoft.com/office/drawing/2014/chart" uri="{C3380CC4-5D6E-409C-BE32-E72D297353CC}">
                <c16:uniqueId val="{00000001-DC51-4B9D-874B-58361E4FEC83}"/>
              </c:ext>
            </c:extLst>
          </c:dPt>
          <c:dLbls>
            <c:dLbl>
              <c:idx val="1"/>
              <c:layout>
                <c:manualLayout>
                  <c:x val="-1.0198477006846147E-16"/>
                  <c:y val="-6.7436731687781689E-17"/>
                </c:manualLayout>
              </c:layout>
              <c:dLblPos val="outEnd"/>
              <c:showLegendKey val="0"/>
              <c:showVal val="0"/>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2-DC51-4B9D-874B-58361E4FEC8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nb-NO"/>
              </a:p>
            </c:txPr>
            <c:dLblPos val="outEnd"/>
            <c:showLegendKey val="0"/>
            <c:showVal val="0"/>
            <c:showCatName val="1"/>
            <c:showSerName val="0"/>
            <c:showPercent val="0"/>
            <c:showBubbleSize val="0"/>
            <c:separator> </c:separator>
            <c:showLeaderLines val="0"/>
            <c:extLst>
              <c:ext xmlns:c15="http://schemas.microsoft.com/office/drawing/2012/chart" uri="{CE6537A1-D6FC-4f65-9D91-7224C49458BB}">
                <c15:showLeaderLines val="0"/>
              </c:ext>
            </c:extLst>
          </c:dLbls>
          <c:cat>
            <c:strRef>
              <c:f>'Utregning av grafer'!$F$27:$F$29</c:f>
              <c:strCache>
                <c:ptCount val="3"/>
                <c:pt idx="0">
                  <c:v>Statlig virksomhet</c:v>
                </c:pt>
                <c:pt idx="1">
                  <c:v>Kommune </c:v>
                </c:pt>
                <c:pt idx="2">
                  <c:v>Fylkeskommune</c:v>
                </c:pt>
              </c:strCache>
            </c:strRef>
          </c:cat>
          <c:val>
            <c:numRef>
              <c:f>'Utregning av grafer'!$P$74:$P$76</c:f>
              <c:numCache>
                <c:formatCode>0%</c:formatCode>
                <c:ptCount val="3"/>
                <c:pt idx="0">
                  <c:v>0.86484235220120442</c:v>
                </c:pt>
                <c:pt idx="1">
                  <c:v>0.70398126463700239</c:v>
                </c:pt>
                <c:pt idx="2">
                  <c:v>0</c:v>
                </c:pt>
              </c:numCache>
            </c:numRef>
          </c:val>
          <c:extLst>
            <c:ext xmlns:c16="http://schemas.microsoft.com/office/drawing/2014/chart" uri="{C3380CC4-5D6E-409C-BE32-E72D297353CC}">
              <c16:uniqueId val="{00000003-DC51-4B9D-874B-58361E4FEC83}"/>
            </c:ext>
          </c:extLst>
        </c:ser>
        <c:dLbls>
          <c:dLblPos val="outEnd"/>
          <c:showLegendKey val="0"/>
          <c:showVal val="1"/>
          <c:showCatName val="0"/>
          <c:showSerName val="0"/>
          <c:showPercent val="0"/>
          <c:showBubbleSize val="0"/>
        </c:dLbls>
        <c:gapWidth val="57"/>
        <c:axId val="344014608"/>
        <c:axId val="344014936"/>
      </c:barChart>
      <c:catAx>
        <c:axId val="344014608"/>
        <c:scaling>
          <c:orientation val="minMax"/>
        </c:scaling>
        <c:delete val="1"/>
        <c:axPos val="b"/>
        <c:numFmt formatCode="General" sourceLinked="1"/>
        <c:majorTickMark val="out"/>
        <c:minorTickMark val="none"/>
        <c:tickLblPos val="nextTo"/>
        <c:crossAx val="344014936"/>
        <c:crosses val="autoZero"/>
        <c:auto val="1"/>
        <c:lblAlgn val="ctr"/>
        <c:lblOffset val="100"/>
        <c:noMultiLvlLbl val="0"/>
      </c:catAx>
      <c:valAx>
        <c:axId val="344014936"/>
        <c:scaling>
          <c:orientation val="minMax"/>
          <c:max val="1"/>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spPr>
          <a:noFill/>
          <a:ln>
            <a:noFill/>
          </a:ln>
          <a:effectLst/>
        </c:spPr>
        <c:txPr>
          <a:bodyPr rot="-60000000" spcFirstLastPara="1" vertOverflow="ellipsis" vert="horz" wrap="square" anchor="b"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344014608"/>
        <c:crosses val="autoZero"/>
        <c:crossBetween val="between"/>
        <c:minorUnit val="0.2"/>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'Utregning av grafer'!$G$17</c:f>
              <c:strCache>
                <c:ptCount val="1"/>
                <c:pt idx="0">
                  <c:v>Prosent</c:v>
                </c:pt>
              </c:strCache>
            </c:strRef>
          </c:tx>
          <c:spPr>
            <a:solidFill>
              <a:srgbClr val="012A4C"/>
            </a:solidFill>
            <a:ln>
              <a:noFill/>
            </a:ln>
            <a:effectLst/>
          </c:spPr>
          <c:invertIfNegative val="0"/>
          <c:cat>
            <c:strRef>
              <c:f>'Utregning av grafer'!$F$82:$F$84</c:f>
              <c:strCache>
                <c:ptCount val="3"/>
                <c:pt idx="0">
                  <c:v>Statlig virksomhet</c:v>
                </c:pt>
                <c:pt idx="1">
                  <c:v>Kommune </c:v>
                </c:pt>
                <c:pt idx="2">
                  <c:v>Fylkeskommune</c:v>
                </c:pt>
              </c:strCache>
            </c:strRef>
          </c:cat>
          <c:val>
            <c:numRef>
              <c:f>'Utregning av grafer'!$G$82:$G$84</c:f>
              <c:numCache>
                <c:formatCode>0%</c:formatCode>
                <c:ptCount val="3"/>
                <c:pt idx="0">
                  <c:v>0.23076923076923078</c:v>
                </c:pt>
                <c:pt idx="1">
                  <c:v>0.33333333333333331</c:v>
                </c:pt>
                <c:pt idx="2">
                  <c:v>0</c:v>
                </c:pt>
              </c:numCache>
            </c:numRef>
          </c:val>
          <c:extLst>
            <c:ext xmlns:c16="http://schemas.microsoft.com/office/drawing/2014/chart" uri="{C3380CC4-5D6E-409C-BE32-E72D297353CC}">
              <c16:uniqueId val="{00000000-5A65-4A12-AC3F-8D3A3F339D3B}"/>
            </c:ext>
          </c:extLst>
        </c:ser>
        <c:dLbls>
          <c:showLegendKey val="0"/>
          <c:showVal val="0"/>
          <c:showCatName val="0"/>
          <c:showSerName val="0"/>
          <c:showPercent val="0"/>
          <c:showBubbleSize val="0"/>
        </c:dLbls>
        <c:gapWidth val="219"/>
        <c:axId val="344014608"/>
        <c:axId val="344014936"/>
      </c:barChart>
      <c:catAx>
        <c:axId val="344014608"/>
        <c:scaling>
          <c:orientation val="minMax"/>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344014936"/>
        <c:crosses val="autoZero"/>
        <c:auto val="1"/>
        <c:lblAlgn val="ctr"/>
        <c:lblOffset val="100"/>
        <c:noMultiLvlLbl val="0"/>
      </c:catAx>
      <c:valAx>
        <c:axId val="344014936"/>
        <c:scaling>
          <c:orientation val="minMax"/>
          <c:max val="1"/>
        </c:scaling>
        <c:delete val="0"/>
        <c:axPos val="b"/>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spPr>
          <a:noFill/>
          <a:ln>
            <a:noFill/>
          </a:ln>
          <a:effectLst/>
        </c:spPr>
        <c:txPr>
          <a:bodyPr rot="-60000000" spcFirstLastPara="1" vertOverflow="ellipsis" vert="horz" wrap="square" anchor="b"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344014608"/>
        <c:crosses val="autoZero"/>
        <c:crossBetween val="between"/>
        <c:majorUnit val="0.2"/>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7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9889303997397682E-2"/>
          <c:y val="2.4613536056830573E-2"/>
          <c:w val="0.86619108704274272"/>
          <c:h val="0.90424508870523868"/>
        </c:manualLayout>
      </c:layout>
      <c:barChart>
        <c:barDir val="col"/>
        <c:grouping val="clustered"/>
        <c:varyColors val="0"/>
        <c:ser>
          <c:idx val="0"/>
          <c:order val="0"/>
          <c:spPr>
            <a:solidFill>
              <a:srgbClr val="012A4C"/>
            </a:solidFill>
            <a:ln>
              <a:noFill/>
            </a:ln>
            <a:effectLst/>
          </c:spPr>
          <c:invertIfNegative val="0"/>
          <c:dPt>
            <c:idx val="0"/>
            <c:invertIfNegative val="0"/>
            <c:bubble3D val="0"/>
            <c:spPr>
              <a:solidFill>
                <a:srgbClr val="012A4C"/>
              </a:solidFill>
              <a:ln>
                <a:noFill/>
              </a:ln>
              <a:effectLst>
                <a:outerShdw blurRad="50800" dist="50800" dir="5400000" sx="1000" sy="1000" algn="ctr" rotWithShape="0">
                  <a:srgbClr val="000000">
                    <a:alpha val="43137"/>
                  </a:srgbClr>
                </a:outerShdw>
              </a:effectLst>
            </c:spPr>
            <c:extLst>
              <c:ext xmlns:c16="http://schemas.microsoft.com/office/drawing/2014/chart" uri="{C3380CC4-5D6E-409C-BE32-E72D297353CC}">
                <c16:uniqueId val="{00000001-AEA7-4B16-9DA7-38794175CB95}"/>
              </c:ext>
            </c:extLst>
          </c:dPt>
          <c:dLbls>
            <c:dLbl>
              <c:idx val="1"/>
              <c:layout>
                <c:manualLayout>
                  <c:x val="-1.0198477006846147E-16"/>
                  <c:y val="-6.7436731687781689E-17"/>
                </c:manualLayout>
              </c:layout>
              <c:dLblPos val="outEnd"/>
              <c:showLegendKey val="0"/>
              <c:showVal val="0"/>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2-AEA7-4B16-9DA7-38794175CB9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nb-NO"/>
              </a:p>
            </c:txPr>
            <c:dLblPos val="outEnd"/>
            <c:showLegendKey val="0"/>
            <c:showVal val="0"/>
            <c:showCatName val="1"/>
            <c:showSerName val="0"/>
            <c:showPercent val="0"/>
            <c:showBubbleSize val="0"/>
            <c:separator> </c:separator>
            <c:showLeaderLines val="0"/>
            <c:extLst>
              <c:ext xmlns:c15="http://schemas.microsoft.com/office/drawing/2012/chart" uri="{CE6537A1-D6FC-4f65-9D91-7224C49458BB}">
                <c15:showLeaderLines val="0"/>
              </c:ext>
            </c:extLst>
          </c:dLbls>
          <c:cat>
            <c:strRef>
              <c:f>'Utregning av grafer'!$A$82:$A$84</c:f>
              <c:strCache>
                <c:ptCount val="3"/>
                <c:pt idx="0">
                  <c:v>Statlig virksomhet</c:v>
                </c:pt>
                <c:pt idx="1">
                  <c:v>Kommune </c:v>
                </c:pt>
                <c:pt idx="2">
                  <c:v>Fylkeskommune</c:v>
                </c:pt>
              </c:strCache>
            </c:strRef>
          </c:cat>
          <c:val>
            <c:numRef>
              <c:f>'Utregning av grafer'!$P$82:$P$84</c:f>
              <c:numCache>
                <c:formatCode>0%</c:formatCode>
                <c:ptCount val="3"/>
                <c:pt idx="0">
                  <c:v>0.21645707874527736</c:v>
                </c:pt>
                <c:pt idx="1">
                  <c:v>0.55036855036855037</c:v>
                </c:pt>
                <c:pt idx="2">
                  <c:v>0</c:v>
                </c:pt>
              </c:numCache>
            </c:numRef>
          </c:val>
          <c:extLst>
            <c:ext xmlns:c16="http://schemas.microsoft.com/office/drawing/2014/chart" uri="{C3380CC4-5D6E-409C-BE32-E72D297353CC}">
              <c16:uniqueId val="{00000003-AEA7-4B16-9DA7-38794175CB95}"/>
            </c:ext>
          </c:extLst>
        </c:ser>
        <c:dLbls>
          <c:dLblPos val="outEnd"/>
          <c:showLegendKey val="0"/>
          <c:showVal val="1"/>
          <c:showCatName val="0"/>
          <c:showSerName val="0"/>
          <c:showPercent val="0"/>
          <c:showBubbleSize val="0"/>
        </c:dLbls>
        <c:gapWidth val="57"/>
        <c:axId val="344014608"/>
        <c:axId val="344014936"/>
      </c:barChart>
      <c:catAx>
        <c:axId val="344014608"/>
        <c:scaling>
          <c:orientation val="minMax"/>
        </c:scaling>
        <c:delete val="1"/>
        <c:axPos val="b"/>
        <c:numFmt formatCode="General" sourceLinked="1"/>
        <c:majorTickMark val="out"/>
        <c:minorTickMark val="none"/>
        <c:tickLblPos val="nextTo"/>
        <c:crossAx val="344014936"/>
        <c:crosses val="autoZero"/>
        <c:auto val="1"/>
        <c:lblAlgn val="ctr"/>
        <c:lblOffset val="100"/>
        <c:noMultiLvlLbl val="0"/>
      </c:catAx>
      <c:valAx>
        <c:axId val="344014936"/>
        <c:scaling>
          <c:orientation val="minMax"/>
          <c:max val="1"/>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spPr>
          <a:noFill/>
          <a:ln>
            <a:noFill/>
          </a:ln>
          <a:effectLst/>
        </c:spPr>
        <c:txPr>
          <a:bodyPr rot="-60000000" spcFirstLastPara="1" vertOverflow="ellipsis" vert="horz" wrap="square" anchor="b"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344014608"/>
        <c:crosses val="autoZero"/>
        <c:crossBetween val="between"/>
        <c:minorUnit val="0.2"/>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7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'Utregning av grafer'!$G$17</c:f>
              <c:strCache>
                <c:ptCount val="1"/>
                <c:pt idx="0">
                  <c:v>Prosent</c:v>
                </c:pt>
              </c:strCache>
            </c:strRef>
          </c:tx>
          <c:spPr>
            <a:solidFill>
              <a:srgbClr val="012A4C"/>
            </a:solidFill>
            <a:ln>
              <a:noFill/>
            </a:ln>
            <a:effectLst/>
          </c:spPr>
          <c:invertIfNegative val="0"/>
          <c:cat>
            <c:strRef>
              <c:f>'Utregning av grafer'!$F$90:$F$92</c:f>
              <c:strCache>
                <c:ptCount val="3"/>
                <c:pt idx="0">
                  <c:v>Statlig virksomhet</c:v>
                </c:pt>
                <c:pt idx="1">
                  <c:v>Kommune </c:v>
                </c:pt>
                <c:pt idx="2">
                  <c:v>Fylkeskommune</c:v>
                </c:pt>
              </c:strCache>
            </c:strRef>
          </c:cat>
          <c:val>
            <c:numRef>
              <c:f>'Utregning av grafer'!$G$90:$G$92</c:f>
              <c:numCache>
                <c:formatCode>0%</c:formatCode>
                <c:ptCount val="3"/>
                <c:pt idx="0">
                  <c:v>0.69230769230769229</c:v>
                </c:pt>
                <c:pt idx="1">
                  <c:v>0.55000000000000004</c:v>
                </c:pt>
                <c:pt idx="2">
                  <c:v>0.7142857142857143</c:v>
                </c:pt>
              </c:numCache>
            </c:numRef>
          </c:val>
          <c:extLst>
            <c:ext xmlns:c16="http://schemas.microsoft.com/office/drawing/2014/chart" uri="{C3380CC4-5D6E-409C-BE32-E72D297353CC}">
              <c16:uniqueId val="{00000000-A876-4B7F-A259-D01E75EED6E5}"/>
            </c:ext>
          </c:extLst>
        </c:ser>
        <c:dLbls>
          <c:showLegendKey val="0"/>
          <c:showVal val="0"/>
          <c:showCatName val="0"/>
          <c:showSerName val="0"/>
          <c:showPercent val="0"/>
          <c:showBubbleSize val="0"/>
        </c:dLbls>
        <c:gapWidth val="219"/>
        <c:axId val="344014608"/>
        <c:axId val="344014936"/>
      </c:barChart>
      <c:catAx>
        <c:axId val="344014608"/>
        <c:scaling>
          <c:orientation val="minMax"/>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344014936"/>
        <c:crosses val="autoZero"/>
        <c:auto val="1"/>
        <c:lblAlgn val="ctr"/>
        <c:lblOffset val="100"/>
        <c:noMultiLvlLbl val="0"/>
      </c:catAx>
      <c:valAx>
        <c:axId val="344014936"/>
        <c:scaling>
          <c:orientation val="minMax"/>
          <c:max val="1"/>
        </c:scaling>
        <c:delete val="0"/>
        <c:axPos val="b"/>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spPr>
          <a:noFill/>
          <a:ln>
            <a:noFill/>
          </a:ln>
          <a:effectLst/>
        </c:spPr>
        <c:txPr>
          <a:bodyPr rot="-60000000" spcFirstLastPara="1" vertOverflow="ellipsis" vert="horz" wrap="square" anchor="b"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344014608"/>
        <c:crosses val="autoZero"/>
        <c:crossBetween val="between"/>
        <c:majorUnit val="0.2"/>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7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'Utregning av grafer'!$E$106</c:f>
              <c:strCache>
                <c:ptCount val="1"/>
                <c:pt idx="0">
                  <c:v>Prosentvis andel  anskaffelser som har stilt kr</c:v>
                </c:pt>
              </c:strCache>
            </c:strRef>
          </c:tx>
          <c:spPr>
            <a:solidFill>
              <a:srgbClr val="012A4C"/>
            </a:solidFill>
            <a:ln>
              <a:noFill/>
            </a:ln>
            <a:effectLst/>
          </c:spPr>
          <c:invertIfNegative val="0"/>
          <c:cat>
            <c:strRef>
              <c:f>'Utregning av grafer'!$F$105:$K$105</c:f>
              <c:strCache>
                <c:ptCount val="6"/>
                <c:pt idx="0">
                  <c:v>Robuste møbeltekstiler</c:v>
                </c:pt>
                <c:pt idx="1">
                  <c:v>Produktinformasjon om demontering, reparasjon og tilgang på reservedeler</c:v>
                </c:pt>
                <c:pt idx="2">
                  <c:v>Krav til kvalitet (EN standarder/Norsk møbelfakta)</c:v>
                </c:pt>
                <c:pt idx="3">
                  <c:v>Enkel rengjøring av møbler</c:v>
                </c:pt>
                <c:pt idx="4">
                  <c:v>Merking av plast</c:v>
                </c:pt>
                <c:pt idx="5">
                  <c:v>Bruk av resirkulert materiale</c:v>
                </c:pt>
              </c:strCache>
            </c:strRef>
          </c:cat>
          <c:val>
            <c:numRef>
              <c:f>'Utregning av grafer'!$F$106:$K$106</c:f>
              <c:numCache>
                <c:formatCode>0%</c:formatCode>
                <c:ptCount val="6"/>
                <c:pt idx="0">
                  <c:v>0.81132075471698117</c:v>
                </c:pt>
                <c:pt idx="1">
                  <c:v>0.71698113207547165</c:v>
                </c:pt>
                <c:pt idx="2">
                  <c:v>0.62264150943396224</c:v>
                </c:pt>
                <c:pt idx="3">
                  <c:v>0.50943396226415094</c:v>
                </c:pt>
                <c:pt idx="4">
                  <c:v>0.18867924528301888</c:v>
                </c:pt>
                <c:pt idx="5">
                  <c:v>5.6603773584905662E-2</c:v>
                </c:pt>
              </c:numCache>
            </c:numRef>
          </c:val>
          <c:extLst>
            <c:ext xmlns:c16="http://schemas.microsoft.com/office/drawing/2014/chart" uri="{C3380CC4-5D6E-409C-BE32-E72D297353CC}">
              <c16:uniqueId val="{00000000-9E3D-4DC9-A6A3-6EBBF2D5BDE1}"/>
            </c:ext>
          </c:extLst>
        </c:ser>
        <c:dLbls>
          <c:showLegendKey val="0"/>
          <c:showVal val="0"/>
          <c:showCatName val="0"/>
          <c:showSerName val="0"/>
          <c:showPercent val="0"/>
          <c:showBubbleSize val="0"/>
        </c:dLbls>
        <c:gapWidth val="219"/>
        <c:axId val="344014608"/>
        <c:axId val="344014936"/>
      </c:barChart>
      <c:catAx>
        <c:axId val="344014608"/>
        <c:scaling>
          <c:orientation val="minMax"/>
        </c:scaling>
        <c:delete val="0"/>
        <c:axPos val="l"/>
        <c:numFmt formatCode="General" sourceLinked="1"/>
        <c:majorTickMark val="out"/>
        <c:minorTickMark val="none"/>
        <c:tickLblPos val="nextTo"/>
        <c:spPr>
          <a:noFill/>
          <a:ln w="9525" cap="flat" cmpd="thickThin" algn="ctr">
            <a:solidFill>
              <a:schemeClr val="tx1">
                <a:lumMod val="15000"/>
                <a:lumOff val="85000"/>
              </a:schemeClr>
            </a:solidFill>
            <a:round/>
          </a:ln>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344014936"/>
        <c:crosses val="autoZero"/>
        <c:auto val="1"/>
        <c:lblAlgn val="ctr"/>
        <c:lblOffset val="100"/>
        <c:noMultiLvlLbl val="0"/>
      </c:catAx>
      <c:valAx>
        <c:axId val="344014936"/>
        <c:scaling>
          <c:orientation val="minMax"/>
          <c:max val="1"/>
        </c:scaling>
        <c:delete val="0"/>
        <c:axPos val="b"/>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spPr>
          <a:noFill/>
          <a:ln>
            <a:noFill/>
          </a:ln>
          <a:effectLst/>
        </c:spPr>
        <c:txPr>
          <a:bodyPr rot="-60000000" spcFirstLastPara="1" vertOverflow="ellipsis" vert="horz" wrap="square" anchor="b"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344014608"/>
        <c:crosses val="autoZero"/>
        <c:crossBetween val="between"/>
        <c:majorUnit val="0.2"/>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7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'Utregning av grafer'!$E$119</c:f>
              <c:strCache>
                <c:ptCount val="1"/>
                <c:pt idx="0">
                  <c:v>Prosentvis andel  anskaffelser som har stilt kr</c:v>
                </c:pt>
              </c:strCache>
            </c:strRef>
          </c:tx>
          <c:spPr>
            <a:solidFill>
              <a:srgbClr val="012A4C"/>
            </a:solidFill>
            <a:ln>
              <a:noFill/>
            </a:ln>
            <a:effectLst/>
          </c:spPr>
          <c:invertIfNegative val="0"/>
          <c:cat>
            <c:strRef>
              <c:extLst>
                <c:ext xmlns:c15="http://schemas.microsoft.com/office/drawing/2012/chart" uri="{02D57815-91ED-43cb-92C2-25804820EDAC}">
                  <c15:fullRef>
                    <c15:sqref>'Utregning av grafer'!$F$118:$K$118</c15:sqref>
                  </c15:fullRef>
                </c:ext>
              </c:extLst>
              <c:f>'Utregning av grafer'!$F$118:$I$118</c:f>
              <c:strCache>
                <c:ptCount val="4"/>
                <c:pt idx="0">
                  <c:v>Leverandøren skal kunne levere brukte møbler</c:v>
                </c:pt>
                <c:pt idx="1">
                  <c:v>Brukte møbler er untatt fra avtalen</c:v>
                </c:pt>
                <c:pt idx="2">
                  <c:v>Serviceavtale/ reparasjonsavtale</c:v>
                </c:pt>
                <c:pt idx="3">
                  <c:v>Avhending, videresalg, materialgjenvinnes/ resirkuleres</c:v>
                </c:pt>
              </c:strCache>
            </c:strRef>
          </c:cat>
          <c:val>
            <c:numRef>
              <c:extLst>
                <c:ext xmlns:c15="http://schemas.microsoft.com/office/drawing/2012/chart" uri="{02D57815-91ED-43cb-92C2-25804820EDAC}">
                  <c15:fullRef>
                    <c15:sqref>'Utregning av grafer'!$F$119:$K$119</c15:sqref>
                  </c15:fullRef>
                </c:ext>
              </c:extLst>
              <c:f>'Utregning av grafer'!$F$119:$I$119</c:f>
              <c:numCache>
                <c:formatCode>0%</c:formatCode>
                <c:ptCount val="4"/>
                <c:pt idx="0">
                  <c:v>1.0000000000000018</c:v>
                </c:pt>
                <c:pt idx="1">
                  <c:v>0.24528301886792453</c:v>
                </c:pt>
                <c:pt idx="2">
                  <c:v>0.11320754716981132</c:v>
                </c:pt>
                <c:pt idx="3">
                  <c:v>3.7735849056603772E-2</c:v>
                </c:pt>
              </c:numCache>
            </c:numRef>
          </c:val>
          <c:extLst>
            <c:ext xmlns:c16="http://schemas.microsoft.com/office/drawing/2014/chart" uri="{C3380CC4-5D6E-409C-BE32-E72D297353CC}">
              <c16:uniqueId val="{00000000-493D-4A00-9049-5365FDB701A5}"/>
            </c:ext>
          </c:extLst>
        </c:ser>
        <c:dLbls>
          <c:showLegendKey val="0"/>
          <c:showVal val="0"/>
          <c:showCatName val="0"/>
          <c:showSerName val="0"/>
          <c:showPercent val="0"/>
          <c:showBubbleSize val="0"/>
        </c:dLbls>
        <c:gapWidth val="219"/>
        <c:axId val="344014608"/>
        <c:axId val="344014936"/>
      </c:barChart>
      <c:catAx>
        <c:axId val="344014608"/>
        <c:scaling>
          <c:orientation val="minMax"/>
        </c:scaling>
        <c:delete val="0"/>
        <c:axPos val="l"/>
        <c:numFmt formatCode="General" sourceLinked="1"/>
        <c:majorTickMark val="out"/>
        <c:minorTickMark val="none"/>
        <c:tickLblPos val="nextTo"/>
        <c:spPr>
          <a:noFill/>
          <a:ln w="9525" cap="flat" cmpd="thickThin" algn="ctr">
            <a:solidFill>
              <a:schemeClr val="tx1">
                <a:lumMod val="15000"/>
                <a:lumOff val="85000"/>
              </a:schemeClr>
            </a:solidFill>
            <a:round/>
          </a:ln>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344014936"/>
        <c:crosses val="autoZero"/>
        <c:auto val="1"/>
        <c:lblAlgn val="ctr"/>
        <c:lblOffset val="100"/>
        <c:noMultiLvlLbl val="0"/>
      </c:catAx>
      <c:valAx>
        <c:axId val="344014936"/>
        <c:scaling>
          <c:orientation val="minMax"/>
          <c:max val="1"/>
        </c:scaling>
        <c:delete val="0"/>
        <c:axPos val="b"/>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spPr>
          <a:noFill/>
          <a:ln>
            <a:noFill/>
          </a:ln>
          <a:effectLst/>
        </c:spPr>
        <c:txPr>
          <a:bodyPr rot="-60000000" spcFirstLastPara="1" vertOverflow="ellipsis" vert="horz" wrap="square" anchor="b"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344014608"/>
        <c:crosses val="autoZero"/>
        <c:crossBetween val="between"/>
        <c:majorUnit val="0.2"/>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8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0"/>
          <c:order val="0"/>
          <c:tx>
            <c:strRef>
              <c:f>'Utregning av grafer'!$H$124</c:f>
              <c:strCache>
                <c:ptCount val="1"/>
                <c:pt idx="0">
                  <c:v>Andel anskaffelser som har krav til kvalitet</c:v>
                </c:pt>
              </c:strCache>
            </c:strRef>
          </c:tx>
          <c:spPr>
            <a:solidFill>
              <a:srgbClr val="012A4C"/>
            </a:solidFill>
            <a:ln>
              <a:noFill/>
            </a:ln>
            <a:effectLst/>
          </c:spPr>
          <c:invertIfNegative val="0"/>
          <c:cat>
            <c:strRef>
              <c:f>'Utregning av grafer'!$G$125:$G$127</c:f>
              <c:strCache>
                <c:ptCount val="3"/>
                <c:pt idx="0">
                  <c:v>Statlig virksomhet</c:v>
                </c:pt>
                <c:pt idx="1">
                  <c:v>Kommune </c:v>
                </c:pt>
                <c:pt idx="2">
                  <c:v>Fylkeskommune</c:v>
                </c:pt>
              </c:strCache>
            </c:strRef>
          </c:cat>
          <c:val>
            <c:numRef>
              <c:f>'Utregning av grafer'!$H$125:$H$127</c:f>
              <c:numCache>
                <c:formatCode>0%</c:formatCode>
                <c:ptCount val="3"/>
                <c:pt idx="0">
                  <c:v>0.38461538461538464</c:v>
                </c:pt>
                <c:pt idx="1">
                  <c:v>0.33333333333333331</c:v>
                </c:pt>
                <c:pt idx="2">
                  <c:v>1</c:v>
                </c:pt>
              </c:numCache>
            </c:numRef>
          </c:val>
          <c:extLst>
            <c:ext xmlns:c16="http://schemas.microsoft.com/office/drawing/2014/chart" uri="{C3380CC4-5D6E-409C-BE32-E72D297353CC}">
              <c16:uniqueId val="{00000000-AB9B-4545-88CB-801C8196D7BC}"/>
            </c:ext>
          </c:extLst>
        </c:ser>
        <c:ser>
          <c:idx val="1"/>
          <c:order val="1"/>
          <c:tx>
            <c:strRef>
              <c:f>'Utregning av grafer'!$I$124</c:f>
              <c:strCache>
                <c:ptCount val="1"/>
                <c:pt idx="0">
                  <c:v>Andel anskaffelser som har brukt krtierieveiviserens krav til kvalitet</c:v>
                </c:pt>
              </c:strCache>
            </c:strRef>
          </c:tx>
          <c:spPr>
            <a:solidFill>
              <a:srgbClr val="009FE3"/>
            </a:solidFill>
            <a:ln>
              <a:noFill/>
            </a:ln>
            <a:effectLst/>
          </c:spPr>
          <c:invertIfNegative val="0"/>
          <c:cat>
            <c:strRef>
              <c:f>'Utregning av grafer'!$G$125:$G$127</c:f>
              <c:strCache>
                <c:ptCount val="3"/>
                <c:pt idx="0">
                  <c:v>Statlig virksomhet</c:v>
                </c:pt>
                <c:pt idx="1">
                  <c:v>Kommune </c:v>
                </c:pt>
                <c:pt idx="2">
                  <c:v>Fylkeskommune</c:v>
                </c:pt>
              </c:strCache>
            </c:strRef>
          </c:cat>
          <c:val>
            <c:numRef>
              <c:f>'Utregning av grafer'!$I$125:$I$127</c:f>
              <c:numCache>
                <c:formatCode>0%</c:formatCode>
                <c:ptCount val="3"/>
                <c:pt idx="0">
                  <c:v>0.15384615384615385</c:v>
                </c:pt>
                <c:pt idx="1">
                  <c:v>0.33333333333333331</c:v>
                </c:pt>
                <c:pt idx="2">
                  <c:v>0</c:v>
                </c:pt>
              </c:numCache>
            </c:numRef>
          </c:val>
          <c:extLst>
            <c:ext xmlns:c16="http://schemas.microsoft.com/office/drawing/2014/chart" uri="{C3380CC4-5D6E-409C-BE32-E72D297353CC}">
              <c16:uniqueId val="{00000001-AB9B-4545-88CB-801C8196D7BC}"/>
            </c:ext>
          </c:extLst>
        </c:ser>
        <c:dLbls>
          <c:showLegendKey val="0"/>
          <c:showVal val="0"/>
          <c:showCatName val="0"/>
          <c:showSerName val="0"/>
          <c:showPercent val="0"/>
          <c:showBubbleSize val="0"/>
        </c:dLbls>
        <c:gapWidth val="150"/>
        <c:overlap val="100"/>
        <c:axId val="664885056"/>
        <c:axId val="664875544"/>
        <c:extLst>
          <c:ext xmlns:c15="http://schemas.microsoft.com/office/drawing/2012/chart" uri="{02D57815-91ED-43cb-92C2-25804820EDAC}">
            <c15:filteredBarSeries>
              <c15:ser>
                <c:idx val="2"/>
                <c:order val="2"/>
                <c:tx>
                  <c:strRef>
                    <c:extLst>
                      <c:ext uri="{02D57815-91ED-43cb-92C2-25804820EDAC}">
                        <c15:formulaRef>
                          <c15:sqref>'Utregning av grafer'!$J$124</c15:sqref>
                        </c15:formulaRef>
                      </c:ext>
                    </c:extLst>
                    <c:strCache>
                      <c:ptCount val="1"/>
                      <c:pt idx="0">
                        <c:v>Andel som ikke har krav til kvalitet</c:v>
                      </c:pt>
                    </c:strCache>
                  </c:strRef>
                </c:tx>
                <c:spPr>
                  <a:solidFill>
                    <a:srgbClr val="EFEFEF"/>
                  </a:solidFill>
                  <a:ln>
                    <a:noFill/>
                  </a:ln>
                  <a:effectLst/>
                </c:spPr>
                <c:invertIfNegative val="0"/>
                <c:cat>
                  <c:strRef>
                    <c:extLst>
                      <c:ext uri="{02D57815-91ED-43cb-92C2-25804820EDAC}">
                        <c15:formulaRef>
                          <c15:sqref>'Utregning av grafer'!$G$125:$G$127</c15:sqref>
                        </c15:formulaRef>
                      </c:ext>
                    </c:extLst>
                    <c:strCache>
                      <c:ptCount val="3"/>
                      <c:pt idx="0">
                        <c:v>Statlig virksomhet</c:v>
                      </c:pt>
                      <c:pt idx="1">
                        <c:v>Kommune </c:v>
                      </c:pt>
                      <c:pt idx="2">
                        <c:v>Fylkeskommune</c:v>
                      </c:pt>
                    </c:strCache>
                  </c:strRef>
                </c:cat>
                <c:val>
                  <c:numRef>
                    <c:extLst>
                      <c:ext uri="{02D57815-91ED-43cb-92C2-25804820EDAC}">
                        <c15:formulaRef>
                          <c15:sqref>'Utregning av grafer'!$J$125:$J$127</c15:sqref>
                        </c15:formulaRef>
                      </c:ext>
                    </c:extLst>
                    <c:numCache>
                      <c:formatCode>0%</c:formatCode>
                      <c:ptCount val="3"/>
                      <c:pt idx="0">
                        <c:v>0.46153846153846156</c:v>
                      </c:pt>
                      <c:pt idx="1">
                        <c:v>0.33333333333333343</c:v>
                      </c:pt>
                      <c:pt idx="2">
                        <c:v>0</c:v>
                      </c:pt>
                    </c:numCache>
                  </c:numRef>
                </c:val>
                <c:extLst>
                  <c:ext xmlns:c16="http://schemas.microsoft.com/office/drawing/2014/chart" uri="{C3380CC4-5D6E-409C-BE32-E72D297353CC}">
                    <c16:uniqueId val="{00000002-AB9B-4545-88CB-801C8196D7BC}"/>
                  </c:ext>
                </c:extLst>
              </c15:ser>
            </c15:filteredBarSeries>
          </c:ext>
        </c:extLst>
      </c:barChart>
      <c:catAx>
        <c:axId val="664885056"/>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664875544"/>
        <c:crosses val="autoZero"/>
        <c:auto val="1"/>
        <c:lblAlgn val="ctr"/>
        <c:lblOffset val="100"/>
        <c:noMultiLvlLbl val="0"/>
      </c:catAx>
      <c:valAx>
        <c:axId val="664875544"/>
        <c:scaling>
          <c:orientation val="minMax"/>
          <c:max val="1"/>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664885056"/>
        <c:crosses val="autoZero"/>
        <c:crossBetween val="between"/>
        <c:majorUnit val="0.2"/>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8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0"/>
          <c:order val="0"/>
          <c:tx>
            <c:strRef>
              <c:f>'Utregning av grafer'!$H$132</c:f>
              <c:strCache>
                <c:ptCount val="1"/>
                <c:pt idx="0">
                  <c:v>Andel anskaffelser som har krav til robuste møbeltekstiler</c:v>
                </c:pt>
              </c:strCache>
            </c:strRef>
          </c:tx>
          <c:spPr>
            <a:solidFill>
              <a:srgbClr val="012A4C"/>
            </a:solidFill>
            <a:ln>
              <a:noFill/>
            </a:ln>
            <a:effectLst/>
          </c:spPr>
          <c:invertIfNegative val="0"/>
          <c:cat>
            <c:strRef>
              <c:f>'Utregning av grafer'!$G$133:$G$135</c:f>
              <c:strCache>
                <c:ptCount val="3"/>
                <c:pt idx="0">
                  <c:v>Statlig virksomhet</c:v>
                </c:pt>
                <c:pt idx="1">
                  <c:v>Kommune </c:v>
                </c:pt>
                <c:pt idx="2">
                  <c:v>Fylkeskommune</c:v>
                </c:pt>
              </c:strCache>
            </c:strRef>
          </c:cat>
          <c:val>
            <c:numRef>
              <c:f>'Utregning av grafer'!$H$133:$H$135</c:f>
              <c:numCache>
                <c:formatCode>0%</c:formatCode>
                <c:ptCount val="3"/>
                <c:pt idx="0">
                  <c:v>0.57692307692307687</c:v>
                </c:pt>
                <c:pt idx="1">
                  <c:v>0.375</c:v>
                </c:pt>
                <c:pt idx="2">
                  <c:v>0.66666666666666663</c:v>
                </c:pt>
              </c:numCache>
            </c:numRef>
          </c:val>
          <c:extLst>
            <c:ext xmlns:c16="http://schemas.microsoft.com/office/drawing/2014/chart" uri="{C3380CC4-5D6E-409C-BE32-E72D297353CC}">
              <c16:uniqueId val="{00000000-75B8-47C5-A1E2-19F2C6F95815}"/>
            </c:ext>
          </c:extLst>
        </c:ser>
        <c:ser>
          <c:idx val="1"/>
          <c:order val="1"/>
          <c:tx>
            <c:strRef>
              <c:f>'Utregning av grafer'!$I$132</c:f>
              <c:strCache>
                <c:ptCount val="1"/>
                <c:pt idx="0">
                  <c:v>Andel anskaffelser som har brukt krtierieveiviserens krav til robuste møbeltekstiler</c:v>
                </c:pt>
              </c:strCache>
            </c:strRef>
          </c:tx>
          <c:spPr>
            <a:solidFill>
              <a:srgbClr val="009FE3"/>
            </a:solidFill>
            <a:ln>
              <a:noFill/>
            </a:ln>
            <a:effectLst/>
          </c:spPr>
          <c:invertIfNegative val="0"/>
          <c:cat>
            <c:strRef>
              <c:f>'Utregning av grafer'!$G$133:$G$135</c:f>
              <c:strCache>
                <c:ptCount val="3"/>
                <c:pt idx="0">
                  <c:v>Statlig virksomhet</c:v>
                </c:pt>
                <c:pt idx="1">
                  <c:v>Kommune </c:v>
                </c:pt>
                <c:pt idx="2">
                  <c:v>Fylkeskommune</c:v>
                </c:pt>
              </c:strCache>
            </c:strRef>
          </c:cat>
          <c:val>
            <c:numRef>
              <c:f>'Utregning av grafer'!$I$133:$I$135</c:f>
              <c:numCache>
                <c:formatCode>0%</c:formatCode>
                <c:ptCount val="3"/>
                <c:pt idx="0">
                  <c:v>0.23076923076923078</c:v>
                </c:pt>
                <c:pt idx="1">
                  <c:v>0.45833333333333331</c:v>
                </c:pt>
                <c:pt idx="2">
                  <c:v>0</c:v>
                </c:pt>
              </c:numCache>
            </c:numRef>
          </c:val>
          <c:extLst>
            <c:ext xmlns:c16="http://schemas.microsoft.com/office/drawing/2014/chart" uri="{C3380CC4-5D6E-409C-BE32-E72D297353CC}">
              <c16:uniqueId val="{00000001-75B8-47C5-A1E2-19F2C6F95815}"/>
            </c:ext>
          </c:extLst>
        </c:ser>
        <c:dLbls>
          <c:showLegendKey val="0"/>
          <c:showVal val="0"/>
          <c:showCatName val="0"/>
          <c:showSerName val="0"/>
          <c:showPercent val="0"/>
          <c:showBubbleSize val="0"/>
        </c:dLbls>
        <c:gapWidth val="150"/>
        <c:overlap val="100"/>
        <c:axId val="664885056"/>
        <c:axId val="664875544"/>
        <c:extLst>
          <c:ext xmlns:c15="http://schemas.microsoft.com/office/drawing/2012/chart" uri="{02D57815-91ED-43cb-92C2-25804820EDAC}">
            <c15:filteredBarSeries>
              <c15:ser>
                <c:idx val="2"/>
                <c:order val="2"/>
                <c:tx>
                  <c:strRef>
                    <c:extLst>
                      <c:ext uri="{02D57815-91ED-43cb-92C2-25804820EDAC}">
                        <c15:formulaRef>
                          <c15:sqref>'Utregning av grafer'!$J$132</c15:sqref>
                        </c15:formulaRef>
                      </c:ext>
                    </c:extLst>
                    <c:strCache>
                      <c:ptCount val="1"/>
                      <c:pt idx="0">
                        <c:v>Andel som ikke har krav til robuste møbeltekstiler</c:v>
                      </c:pt>
                    </c:strCache>
                  </c:strRef>
                </c:tx>
                <c:spPr>
                  <a:solidFill>
                    <a:srgbClr val="EFEFEF"/>
                  </a:solidFill>
                  <a:ln>
                    <a:noFill/>
                  </a:ln>
                  <a:effectLst/>
                </c:spPr>
                <c:invertIfNegative val="0"/>
                <c:cat>
                  <c:strRef>
                    <c:extLst>
                      <c:ext uri="{02D57815-91ED-43cb-92C2-25804820EDAC}">
                        <c15:formulaRef>
                          <c15:sqref>'Utregning av grafer'!$G$133:$G$135</c15:sqref>
                        </c15:formulaRef>
                      </c:ext>
                    </c:extLst>
                    <c:strCache>
                      <c:ptCount val="3"/>
                      <c:pt idx="0">
                        <c:v>Statlig virksomhet</c:v>
                      </c:pt>
                      <c:pt idx="1">
                        <c:v>Kommune </c:v>
                      </c:pt>
                      <c:pt idx="2">
                        <c:v>Fylkeskommune</c:v>
                      </c:pt>
                    </c:strCache>
                  </c:strRef>
                </c:cat>
                <c:val>
                  <c:numRef>
                    <c:extLst>
                      <c:ext uri="{02D57815-91ED-43cb-92C2-25804820EDAC}">
                        <c15:formulaRef>
                          <c15:sqref>'Utregning av grafer'!$J$133:$J$135</c15:sqref>
                        </c15:formulaRef>
                      </c:ext>
                    </c:extLst>
                    <c:numCache>
                      <c:formatCode>0%</c:formatCode>
                      <c:ptCount val="3"/>
                      <c:pt idx="0">
                        <c:v>0.19230769230769235</c:v>
                      </c:pt>
                      <c:pt idx="1">
                        <c:v>0.16666666666666669</c:v>
                      </c:pt>
                      <c:pt idx="2">
                        <c:v>0.33333333333333337</c:v>
                      </c:pt>
                    </c:numCache>
                  </c:numRef>
                </c:val>
                <c:extLst>
                  <c:ext xmlns:c16="http://schemas.microsoft.com/office/drawing/2014/chart" uri="{C3380CC4-5D6E-409C-BE32-E72D297353CC}">
                    <c16:uniqueId val="{00000002-75B8-47C5-A1E2-19F2C6F95815}"/>
                  </c:ext>
                </c:extLst>
              </c15:ser>
            </c15:filteredBarSeries>
          </c:ext>
        </c:extLst>
      </c:barChart>
      <c:catAx>
        <c:axId val="664885056"/>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664875544"/>
        <c:crosses val="autoZero"/>
        <c:auto val="1"/>
        <c:lblAlgn val="ctr"/>
        <c:lblOffset val="100"/>
        <c:noMultiLvlLbl val="0"/>
      </c:catAx>
      <c:valAx>
        <c:axId val="664875544"/>
        <c:scaling>
          <c:orientation val="minMax"/>
          <c:max val="1"/>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664885056"/>
        <c:crosses val="autoZero"/>
        <c:crossBetween val="between"/>
        <c:majorUnit val="0.2"/>
      </c:valAx>
      <c:spPr>
        <a:noFill/>
        <a:ln>
          <a:noFill/>
        </a:ln>
        <a:effectLst/>
      </c:spPr>
    </c:plotArea>
    <c:legend>
      <c:legendPos val="b"/>
      <c:layout>
        <c:manualLayout>
          <c:xMode val="edge"/>
          <c:yMode val="edge"/>
          <c:x val="0.12592261498194057"/>
          <c:y val="0.77413630192777627"/>
          <c:w val="0.77868890261028267"/>
          <c:h val="0.19827749117567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8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0"/>
          <c:order val="0"/>
          <c:tx>
            <c:strRef>
              <c:f>'Utregning av grafer'!$H$146</c:f>
              <c:strCache>
                <c:ptCount val="1"/>
                <c:pt idx="0">
                  <c:v>Andel anskaffelser som har stilt krav</c:v>
                </c:pt>
              </c:strCache>
            </c:strRef>
          </c:tx>
          <c:spPr>
            <a:solidFill>
              <a:srgbClr val="012A4C"/>
            </a:solidFill>
            <a:ln>
              <a:noFill/>
            </a:ln>
            <a:effectLst/>
          </c:spPr>
          <c:invertIfNegative val="0"/>
          <c:cat>
            <c:strRef>
              <c:f>'Utregning av grafer'!$G$147:$G$149</c:f>
              <c:strCache>
                <c:ptCount val="3"/>
                <c:pt idx="0">
                  <c:v>Statlig virksomhet</c:v>
                </c:pt>
                <c:pt idx="1">
                  <c:v>Kommune </c:v>
                </c:pt>
                <c:pt idx="2">
                  <c:v>Fylkeskommune</c:v>
                </c:pt>
              </c:strCache>
            </c:strRef>
          </c:cat>
          <c:val>
            <c:numRef>
              <c:f>'Utregning av grafer'!$H$147:$H$149</c:f>
              <c:numCache>
                <c:formatCode>0%</c:formatCode>
                <c:ptCount val="3"/>
                <c:pt idx="0">
                  <c:v>0.38461538461538464</c:v>
                </c:pt>
                <c:pt idx="1">
                  <c:v>0.54166666666666663</c:v>
                </c:pt>
                <c:pt idx="2">
                  <c:v>1</c:v>
                </c:pt>
              </c:numCache>
            </c:numRef>
          </c:val>
          <c:extLst>
            <c:ext xmlns:c16="http://schemas.microsoft.com/office/drawing/2014/chart" uri="{C3380CC4-5D6E-409C-BE32-E72D297353CC}">
              <c16:uniqueId val="{00000000-9B8D-4BF7-BF04-8B17ACBD0C5E}"/>
            </c:ext>
          </c:extLst>
        </c:ser>
        <c:ser>
          <c:idx val="1"/>
          <c:order val="1"/>
          <c:tx>
            <c:strRef>
              <c:f>'Utregning av grafer'!$I$146</c:f>
              <c:strCache>
                <c:ptCount val="1"/>
                <c:pt idx="0">
                  <c:v>Andel anskaffelser som har brukt krtierieveiviserens krav</c:v>
                </c:pt>
              </c:strCache>
            </c:strRef>
          </c:tx>
          <c:spPr>
            <a:solidFill>
              <a:srgbClr val="009FE3"/>
            </a:solidFill>
            <a:ln>
              <a:noFill/>
            </a:ln>
            <a:effectLst/>
          </c:spPr>
          <c:invertIfNegative val="0"/>
          <c:cat>
            <c:strRef>
              <c:f>'Utregning av grafer'!$G$147:$G$149</c:f>
              <c:strCache>
                <c:ptCount val="3"/>
                <c:pt idx="0">
                  <c:v>Statlig virksomhet</c:v>
                </c:pt>
                <c:pt idx="1">
                  <c:v>Kommune </c:v>
                </c:pt>
                <c:pt idx="2">
                  <c:v>Fylkeskommune</c:v>
                </c:pt>
              </c:strCache>
            </c:strRef>
          </c:cat>
          <c:val>
            <c:numRef>
              <c:f>'Utregning av grafer'!$I$147:$I$149</c:f>
              <c:numCache>
                <c:formatCode>0%</c:formatCode>
                <c:ptCount val="3"/>
                <c:pt idx="0">
                  <c:v>0.26923076923076922</c:v>
                </c:pt>
                <c:pt idx="1">
                  <c:v>0.20833333333333334</c:v>
                </c:pt>
                <c:pt idx="2">
                  <c:v>0</c:v>
                </c:pt>
              </c:numCache>
            </c:numRef>
          </c:val>
          <c:extLst>
            <c:ext xmlns:c16="http://schemas.microsoft.com/office/drawing/2014/chart" uri="{C3380CC4-5D6E-409C-BE32-E72D297353CC}">
              <c16:uniqueId val="{00000001-9B8D-4BF7-BF04-8B17ACBD0C5E}"/>
            </c:ext>
          </c:extLst>
        </c:ser>
        <c:dLbls>
          <c:showLegendKey val="0"/>
          <c:showVal val="0"/>
          <c:showCatName val="0"/>
          <c:showSerName val="0"/>
          <c:showPercent val="0"/>
          <c:showBubbleSize val="0"/>
        </c:dLbls>
        <c:gapWidth val="150"/>
        <c:overlap val="100"/>
        <c:axId val="664885056"/>
        <c:axId val="664875544"/>
        <c:extLst>
          <c:ext xmlns:c15="http://schemas.microsoft.com/office/drawing/2012/chart" uri="{02D57815-91ED-43cb-92C2-25804820EDAC}">
            <c15:filteredBarSeries>
              <c15:ser>
                <c:idx val="2"/>
                <c:order val="2"/>
                <c:tx>
                  <c:strRef>
                    <c:extLst>
                      <c:ext uri="{02D57815-91ED-43cb-92C2-25804820EDAC}">
                        <c15:formulaRef>
                          <c15:sqref>'Utregning av grafer'!$J$146</c15:sqref>
                        </c15:formulaRef>
                      </c:ext>
                    </c:extLst>
                    <c:strCache>
                      <c:ptCount val="1"/>
                      <c:pt idx="0">
                        <c:v>Andel som ikke har stilt krav </c:v>
                      </c:pt>
                    </c:strCache>
                  </c:strRef>
                </c:tx>
                <c:spPr>
                  <a:solidFill>
                    <a:srgbClr val="EFEFEF"/>
                  </a:solidFill>
                  <a:ln>
                    <a:noFill/>
                  </a:ln>
                  <a:effectLst/>
                </c:spPr>
                <c:invertIfNegative val="0"/>
                <c:cat>
                  <c:strRef>
                    <c:extLst>
                      <c:ext uri="{02D57815-91ED-43cb-92C2-25804820EDAC}">
                        <c15:formulaRef>
                          <c15:sqref>'Utregning av grafer'!$G$147:$G$149</c15:sqref>
                        </c15:formulaRef>
                      </c:ext>
                    </c:extLst>
                    <c:strCache>
                      <c:ptCount val="3"/>
                      <c:pt idx="0">
                        <c:v>Statlig virksomhet</c:v>
                      </c:pt>
                      <c:pt idx="1">
                        <c:v>Kommune </c:v>
                      </c:pt>
                      <c:pt idx="2">
                        <c:v>Fylkeskommune</c:v>
                      </c:pt>
                    </c:strCache>
                  </c:strRef>
                </c:cat>
                <c:val>
                  <c:numRef>
                    <c:extLst>
                      <c:ext uri="{02D57815-91ED-43cb-92C2-25804820EDAC}">
                        <c15:formulaRef>
                          <c15:sqref>'Utregning av grafer'!$J$147:$J$149</c15:sqref>
                        </c15:formulaRef>
                      </c:ext>
                    </c:extLst>
                    <c:numCache>
                      <c:formatCode>0%</c:formatCode>
                      <c:ptCount val="3"/>
                      <c:pt idx="0">
                        <c:v>0.3461538461538462</c:v>
                      </c:pt>
                      <c:pt idx="1">
                        <c:v>0.25</c:v>
                      </c:pt>
                      <c:pt idx="2">
                        <c:v>0</c:v>
                      </c:pt>
                    </c:numCache>
                  </c:numRef>
                </c:val>
                <c:extLst>
                  <c:ext xmlns:c16="http://schemas.microsoft.com/office/drawing/2014/chart" uri="{C3380CC4-5D6E-409C-BE32-E72D297353CC}">
                    <c16:uniqueId val="{00000002-9B8D-4BF7-BF04-8B17ACBD0C5E}"/>
                  </c:ext>
                </c:extLst>
              </c15:ser>
            </c15:filteredBarSeries>
          </c:ext>
        </c:extLst>
      </c:barChart>
      <c:catAx>
        <c:axId val="664885056"/>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664875544"/>
        <c:crosses val="autoZero"/>
        <c:auto val="1"/>
        <c:lblAlgn val="ctr"/>
        <c:lblOffset val="100"/>
        <c:noMultiLvlLbl val="0"/>
      </c:catAx>
      <c:valAx>
        <c:axId val="664875544"/>
        <c:scaling>
          <c:orientation val="minMax"/>
          <c:max val="1"/>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664885056"/>
        <c:crosses val="autoZero"/>
        <c:crossBetween val="between"/>
        <c:majorUnit val="0.2"/>
      </c:valAx>
      <c:spPr>
        <a:noFill/>
        <a:ln>
          <a:noFill/>
        </a:ln>
        <a:effectLst/>
      </c:spPr>
    </c:plotArea>
    <c:legend>
      <c:legendPos val="b"/>
      <c:layout>
        <c:manualLayout>
          <c:xMode val="edge"/>
          <c:yMode val="edge"/>
          <c:x val="9.3022317458028136E-2"/>
          <c:y val="0.80757224575829623"/>
          <c:w val="0.86762486235060521"/>
          <c:h val="0.15925301600332475"/>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8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0"/>
          <c:order val="0"/>
          <c:tx>
            <c:strRef>
              <c:f>'Utregning av grafer'!$H$154</c:f>
              <c:strCache>
                <c:ptCount val="1"/>
                <c:pt idx="0">
                  <c:v>Andel anskaffelser som har stilt krav</c:v>
                </c:pt>
              </c:strCache>
            </c:strRef>
          </c:tx>
          <c:spPr>
            <a:solidFill>
              <a:srgbClr val="012A4C"/>
            </a:solidFill>
            <a:ln>
              <a:noFill/>
            </a:ln>
            <a:effectLst/>
          </c:spPr>
          <c:invertIfNegative val="0"/>
          <c:cat>
            <c:strRef>
              <c:f>'Utregning av grafer'!$G$155:$G$157</c:f>
              <c:strCache>
                <c:ptCount val="3"/>
                <c:pt idx="0">
                  <c:v>Statlig virksomhet</c:v>
                </c:pt>
                <c:pt idx="1">
                  <c:v>Kommune </c:v>
                </c:pt>
                <c:pt idx="2">
                  <c:v>Fylkeskommune</c:v>
                </c:pt>
              </c:strCache>
            </c:strRef>
          </c:cat>
          <c:val>
            <c:numRef>
              <c:f>'Utregning av grafer'!$H$155:$H$157</c:f>
              <c:numCache>
                <c:formatCode>0%</c:formatCode>
                <c:ptCount val="3"/>
                <c:pt idx="0">
                  <c:v>0.11538461538461539</c:v>
                </c:pt>
                <c:pt idx="1">
                  <c:v>0.20833333333333334</c:v>
                </c:pt>
                <c:pt idx="2">
                  <c:v>0</c:v>
                </c:pt>
              </c:numCache>
            </c:numRef>
          </c:val>
          <c:extLst>
            <c:ext xmlns:c16="http://schemas.microsoft.com/office/drawing/2014/chart" uri="{C3380CC4-5D6E-409C-BE32-E72D297353CC}">
              <c16:uniqueId val="{00000000-FEF3-4928-805A-BD4F2AD95F16}"/>
            </c:ext>
          </c:extLst>
        </c:ser>
        <c:ser>
          <c:idx val="1"/>
          <c:order val="1"/>
          <c:tx>
            <c:strRef>
              <c:f>'Utregning av grafer'!$I$154</c:f>
              <c:strCache>
                <c:ptCount val="1"/>
                <c:pt idx="0">
                  <c:v>Andel anskaffelser som har brukt krtierieveiviserens krav</c:v>
                </c:pt>
              </c:strCache>
            </c:strRef>
          </c:tx>
          <c:spPr>
            <a:solidFill>
              <a:srgbClr val="009FE3"/>
            </a:solidFill>
            <a:ln>
              <a:noFill/>
            </a:ln>
            <a:effectLst/>
          </c:spPr>
          <c:invertIfNegative val="0"/>
          <c:cat>
            <c:strRef>
              <c:f>'Utregning av grafer'!$G$155:$G$157</c:f>
              <c:strCache>
                <c:ptCount val="3"/>
                <c:pt idx="0">
                  <c:v>Statlig virksomhet</c:v>
                </c:pt>
                <c:pt idx="1">
                  <c:v>Kommune </c:v>
                </c:pt>
                <c:pt idx="2">
                  <c:v>Fylkeskommune</c:v>
                </c:pt>
              </c:strCache>
            </c:strRef>
          </c:cat>
          <c:val>
            <c:numRef>
              <c:f>'Utregning av grafer'!$I$155:$I$157</c:f>
              <c:numCache>
                <c:formatCode>0%</c:formatCode>
                <c:ptCount val="3"/>
                <c:pt idx="0">
                  <c:v>3.8461538461538464E-2</c:v>
                </c:pt>
                <c:pt idx="1">
                  <c:v>4.1666666666666664E-2</c:v>
                </c:pt>
                <c:pt idx="2">
                  <c:v>0</c:v>
                </c:pt>
              </c:numCache>
            </c:numRef>
          </c:val>
          <c:extLst>
            <c:ext xmlns:c16="http://schemas.microsoft.com/office/drawing/2014/chart" uri="{C3380CC4-5D6E-409C-BE32-E72D297353CC}">
              <c16:uniqueId val="{00000001-FEF3-4928-805A-BD4F2AD95F16}"/>
            </c:ext>
          </c:extLst>
        </c:ser>
        <c:dLbls>
          <c:showLegendKey val="0"/>
          <c:showVal val="0"/>
          <c:showCatName val="0"/>
          <c:showSerName val="0"/>
          <c:showPercent val="0"/>
          <c:showBubbleSize val="0"/>
        </c:dLbls>
        <c:gapWidth val="150"/>
        <c:overlap val="100"/>
        <c:axId val="664885056"/>
        <c:axId val="664875544"/>
        <c:extLst>
          <c:ext xmlns:c15="http://schemas.microsoft.com/office/drawing/2012/chart" uri="{02D57815-91ED-43cb-92C2-25804820EDAC}">
            <c15:filteredBarSeries>
              <c15:ser>
                <c:idx val="2"/>
                <c:order val="2"/>
                <c:tx>
                  <c:strRef>
                    <c:extLst>
                      <c:ext uri="{02D57815-91ED-43cb-92C2-25804820EDAC}">
                        <c15:formulaRef>
                          <c15:sqref>'Utregning av grafer'!$J$146</c15:sqref>
                        </c15:formulaRef>
                      </c:ext>
                    </c:extLst>
                    <c:strCache>
                      <c:ptCount val="1"/>
                      <c:pt idx="0">
                        <c:v>Andel som ikke har stilt krav </c:v>
                      </c:pt>
                    </c:strCache>
                  </c:strRef>
                </c:tx>
                <c:spPr>
                  <a:solidFill>
                    <a:srgbClr val="EFEFEF"/>
                  </a:solidFill>
                  <a:ln>
                    <a:noFill/>
                  </a:ln>
                  <a:effectLst/>
                </c:spPr>
                <c:invertIfNegative val="0"/>
                <c:cat>
                  <c:strRef>
                    <c:extLst>
                      <c:ext uri="{02D57815-91ED-43cb-92C2-25804820EDAC}">
                        <c15:formulaRef>
                          <c15:sqref>'Utregning av grafer'!$G$155:$G$157</c15:sqref>
                        </c15:formulaRef>
                      </c:ext>
                    </c:extLst>
                    <c:strCache>
                      <c:ptCount val="3"/>
                      <c:pt idx="0">
                        <c:v>Statlig virksomhet</c:v>
                      </c:pt>
                      <c:pt idx="1">
                        <c:v>Kommune </c:v>
                      </c:pt>
                      <c:pt idx="2">
                        <c:v>Fylkeskommune</c:v>
                      </c:pt>
                    </c:strCache>
                  </c:strRef>
                </c:cat>
                <c:val>
                  <c:numRef>
                    <c:extLst>
                      <c:ext uri="{02D57815-91ED-43cb-92C2-25804820EDAC}">
                        <c15:formulaRef>
                          <c15:sqref>'Utregning av grafer'!$J$155:$J$157</c15:sqref>
                        </c15:formulaRef>
                      </c:ext>
                    </c:extLst>
                    <c:numCache>
                      <c:formatCode>0%</c:formatCode>
                      <c:ptCount val="3"/>
                      <c:pt idx="0">
                        <c:v>0.84615384615384615</c:v>
                      </c:pt>
                      <c:pt idx="1">
                        <c:v>0.75</c:v>
                      </c:pt>
                      <c:pt idx="2">
                        <c:v>1</c:v>
                      </c:pt>
                    </c:numCache>
                  </c:numRef>
                </c:val>
                <c:extLst>
                  <c:ext xmlns:c16="http://schemas.microsoft.com/office/drawing/2014/chart" uri="{C3380CC4-5D6E-409C-BE32-E72D297353CC}">
                    <c16:uniqueId val="{00000002-FEF3-4928-805A-BD4F2AD95F16}"/>
                  </c:ext>
                </c:extLst>
              </c15:ser>
            </c15:filteredBarSeries>
          </c:ext>
        </c:extLst>
      </c:barChart>
      <c:catAx>
        <c:axId val="664885056"/>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664875544"/>
        <c:crosses val="autoZero"/>
        <c:auto val="1"/>
        <c:lblAlgn val="ctr"/>
        <c:lblOffset val="100"/>
        <c:noMultiLvlLbl val="0"/>
      </c:catAx>
      <c:valAx>
        <c:axId val="664875544"/>
        <c:scaling>
          <c:orientation val="minMax"/>
          <c:max val="1"/>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664885056"/>
        <c:crosses val="autoZero"/>
        <c:crossBetween val="between"/>
        <c:majorUnit val="0.2"/>
      </c:valAx>
      <c:spPr>
        <a:noFill/>
        <a:ln>
          <a:noFill/>
        </a:ln>
        <a:effectLst/>
      </c:spPr>
    </c:plotArea>
    <c:legend>
      <c:legendPos val="b"/>
      <c:layout>
        <c:manualLayout>
          <c:xMode val="edge"/>
          <c:yMode val="edge"/>
          <c:x val="9.3022317458028136E-2"/>
          <c:y val="0.80757224575829623"/>
          <c:w val="0.86762486235060521"/>
          <c:h val="0.15925301600332475"/>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8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'Utregning av grafer'!$G$168</c:f>
              <c:strCache>
                <c:ptCount val="1"/>
                <c:pt idx="0">
                  <c:v>Prosent</c:v>
                </c:pt>
              </c:strCache>
            </c:strRef>
          </c:tx>
          <c:spPr>
            <a:solidFill>
              <a:srgbClr val="012A4C"/>
            </a:solidFill>
            <a:ln>
              <a:noFill/>
            </a:ln>
            <a:effectLst/>
          </c:spPr>
          <c:invertIfNegative val="0"/>
          <c:cat>
            <c:strRef>
              <c:f>'Utregning av grafer'!$F$169:$F$171</c:f>
              <c:strCache>
                <c:ptCount val="3"/>
                <c:pt idx="0">
                  <c:v>Statlig virksomhet</c:v>
                </c:pt>
                <c:pt idx="1">
                  <c:v>Kommune </c:v>
                </c:pt>
                <c:pt idx="2">
                  <c:v>Fylkeskommune</c:v>
                </c:pt>
              </c:strCache>
            </c:strRef>
          </c:cat>
          <c:val>
            <c:numRef>
              <c:f>'Utregning av grafer'!$G$169:$G$171</c:f>
              <c:numCache>
                <c:formatCode>0%</c:formatCode>
                <c:ptCount val="3"/>
                <c:pt idx="0">
                  <c:v>0.19230769230769232</c:v>
                </c:pt>
                <c:pt idx="1">
                  <c:v>8.3333333333333329E-2</c:v>
                </c:pt>
                <c:pt idx="2">
                  <c:v>0</c:v>
                </c:pt>
              </c:numCache>
            </c:numRef>
          </c:val>
          <c:extLst>
            <c:ext xmlns:c16="http://schemas.microsoft.com/office/drawing/2014/chart" uri="{C3380CC4-5D6E-409C-BE32-E72D297353CC}">
              <c16:uniqueId val="{00000000-AB1D-4936-BE61-72D6DD8A1957}"/>
            </c:ext>
          </c:extLst>
        </c:ser>
        <c:dLbls>
          <c:showLegendKey val="0"/>
          <c:showVal val="0"/>
          <c:showCatName val="0"/>
          <c:showSerName val="0"/>
          <c:showPercent val="0"/>
          <c:showBubbleSize val="0"/>
        </c:dLbls>
        <c:gapWidth val="219"/>
        <c:axId val="344014608"/>
        <c:axId val="344014936"/>
      </c:barChart>
      <c:catAx>
        <c:axId val="344014608"/>
        <c:scaling>
          <c:orientation val="minMax"/>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344014936"/>
        <c:crosses val="autoZero"/>
        <c:auto val="1"/>
        <c:lblAlgn val="ctr"/>
        <c:lblOffset val="100"/>
        <c:noMultiLvlLbl val="0"/>
      </c:catAx>
      <c:valAx>
        <c:axId val="344014936"/>
        <c:scaling>
          <c:orientation val="minMax"/>
          <c:max val="1"/>
        </c:scaling>
        <c:delete val="0"/>
        <c:axPos val="b"/>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spPr>
          <a:noFill/>
          <a:ln>
            <a:noFill/>
          </a:ln>
          <a:effectLst/>
        </c:spPr>
        <c:txPr>
          <a:bodyPr rot="-60000000" spcFirstLastPara="1" vertOverflow="ellipsis" vert="horz" wrap="square" anchor="b"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344014608"/>
        <c:crosses val="autoZero"/>
        <c:crossBetween val="between"/>
        <c:majorUnit val="0.2"/>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8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'Utregning av grafer'!$I$178</c:f>
              <c:strCache>
                <c:ptCount val="1"/>
                <c:pt idx="0">
                  <c:v>Statlig virksomhet</c:v>
                </c:pt>
              </c:strCache>
            </c:strRef>
          </c:tx>
          <c:spPr>
            <a:solidFill>
              <a:srgbClr val="012A4C"/>
            </a:solidFill>
            <a:ln>
              <a:noFill/>
            </a:ln>
            <a:effectLst/>
          </c:spPr>
          <c:invertIfNegative val="0"/>
          <c:cat>
            <c:strRef>
              <c:extLst>
                <c:ext xmlns:c15="http://schemas.microsoft.com/office/drawing/2012/chart" uri="{02D57815-91ED-43cb-92C2-25804820EDAC}">
                  <c15:fullRef>
                    <c15:sqref>'Utregning av grafer'!$J$177:$N$177</c15:sqref>
                  </c15:fullRef>
                </c:ext>
              </c:extLst>
              <c:f>'Utregning av grafer'!$L$177:$N$177</c:f>
              <c:strCache>
                <c:ptCount val="3"/>
                <c:pt idx="0">
                  <c:v>2 år</c:v>
                </c:pt>
                <c:pt idx="1">
                  <c:v>3 år</c:v>
                </c:pt>
                <c:pt idx="2">
                  <c:v>5 år</c:v>
                </c:pt>
              </c:strCache>
            </c:strRef>
          </c:cat>
          <c:val>
            <c:numRef>
              <c:extLst>
                <c:ext xmlns:c15="http://schemas.microsoft.com/office/drawing/2012/chart" uri="{02D57815-91ED-43cb-92C2-25804820EDAC}">
                  <c15:fullRef>
                    <c15:sqref>'Utregning av grafer'!$J$178:$N$178</c15:sqref>
                  </c15:fullRef>
                </c:ext>
              </c:extLst>
              <c:f>'Utregning av grafer'!$L$178:$N$178</c:f>
              <c:numCache>
                <c:formatCode>0%</c:formatCode>
                <c:ptCount val="3"/>
                <c:pt idx="0">
                  <c:v>3.8461538461538464E-2</c:v>
                </c:pt>
                <c:pt idx="1">
                  <c:v>3.8461538461538464E-2</c:v>
                </c:pt>
                <c:pt idx="2">
                  <c:v>0.61538461538461542</c:v>
                </c:pt>
              </c:numCache>
            </c:numRef>
          </c:val>
          <c:extLst>
            <c:ext xmlns:c16="http://schemas.microsoft.com/office/drawing/2014/chart" uri="{C3380CC4-5D6E-409C-BE32-E72D297353CC}">
              <c16:uniqueId val="{00000000-36AC-4462-89FA-07D1A5C816F6}"/>
            </c:ext>
          </c:extLst>
        </c:ser>
        <c:ser>
          <c:idx val="1"/>
          <c:order val="1"/>
          <c:tx>
            <c:strRef>
              <c:f>'Utregning av grafer'!$I$179</c:f>
              <c:strCache>
                <c:ptCount val="1"/>
                <c:pt idx="0">
                  <c:v>Kommune </c:v>
                </c:pt>
              </c:strCache>
            </c:strRef>
          </c:tx>
          <c:spPr>
            <a:solidFill>
              <a:srgbClr val="005B91"/>
            </a:solidFill>
            <a:ln>
              <a:noFill/>
            </a:ln>
            <a:effectLst/>
          </c:spPr>
          <c:invertIfNegative val="0"/>
          <c:cat>
            <c:strRef>
              <c:extLst>
                <c:ext xmlns:c15="http://schemas.microsoft.com/office/drawing/2012/chart" uri="{02D57815-91ED-43cb-92C2-25804820EDAC}">
                  <c15:fullRef>
                    <c15:sqref>'Utregning av grafer'!$J$177:$N$177</c15:sqref>
                  </c15:fullRef>
                </c:ext>
              </c:extLst>
              <c:f>'Utregning av grafer'!$L$177:$N$177</c:f>
              <c:strCache>
                <c:ptCount val="3"/>
                <c:pt idx="0">
                  <c:v>2 år</c:v>
                </c:pt>
                <c:pt idx="1">
                  <c:v>3 år</c:v>
                </c:pt>
                <c:pt idx="2">
                  <c:v>5 år</c:v>
                </c:pt>
              </c:strCache>
            </c:strRef>
          </c:cat>
          <c:val>
            <c:numRef>
              <c:extLst>
                <c:ext xmlns:c15="http://schemas.microsoft.com/office/drawing/2012/chart" uri="{02D57815-91ED-43cb-92C2-25804820EDAC}">
                  <c15:fullRef>
                    <c15:sqref>'Utregning av grafer'!$J$179:$N$179</c15:sqref>
                  </c15:fullRef>
                </c:ext>
              </c:extLst>
              <c:f>'Utregning av grafer'!$L$179:$N$179</c:f>
              <c:numCache>
                <c:formatCode>0%</c:formatCode>
                <c:ptCount val="3"/>
                <c:pt idx="0">
                  <c:v>0.20833333333333334</c:v>
                </c:pt>
                <c:pt idx="1">
                  <c:v>0</c:v>
                </c:pt>
                <c:pt idx="2">
                  <c:v>0.75</c:v>
                </c:pt>
              </c:numCache>
            </c:numRef>
          </c:val>
          <c:extLst>
            <c:ext xmlns:c16="http://schemas.microsoft.com/office/drawing/2014/chart" uri="{C3380CC4-5D6E-409C-BE32-E72D297353CC}">
              <c16:uniqueId val="{00000001-36AC-4462-89FA-07D1A5C816F6}"/>
            </c:ext>
          </c:extLst>
        </c:ser>
        <c:ser>
          <c:idx val="2"/>
          <c:order val="2"/>
          <c:tx>
            <c:strRef>
              <c:f>'Utregning av grafer'!$I$180</c:f>
              <c:strCache>
                <c:ptCount val="1"/>
                <c:pt idx="0">
                  <c:v>Fylkeskommune</c:v>
                </c:pt>
              </c:strCache>
            </c:strRef>
          </c:tx>
          <c:spPr>
            <a:solidFill>
              <a:srgbClr val="009FE3"/>
            </a:solidFill>
            <a:ln>
              <a:noFill/>
            </a:ln>
            <a:effectLst/>
          </c:spPr>
          <c:invertIfNegative val="0"/>
          <c:cat>
            <c:strRef>
              <c:extLst>
                <c:ext xmlns:c15="http://schemas.microsoft.com/office/drawing/2012/chart" uri="{02D57815-91ED-43cb-92C2-25804820EDAC}">
                  <c15:fullRef>
                    <c15:sqref>'Utregning av grafer'!$J$177:$N$177</c15:sqref>
                  </c15:fullRef>
                </c:ext>
              </c:extLst>
              <c:f>'Utregning av grafer'!$L$177:$N$177</c:f>
              <c:strCache>
                <c:ptCount val="3"/>
                <c:pt idx="0">
                  <c:v>2 år</c:v>
                </c:pt>
                <c:pt idx="1">
                  <c:v>3 år</c:v>
                </c:pt>
                <c:pt idx="2">
                  <c:v>5 år</c:v>
                </c:pt>
              </c:strCache>
            </c:strRef>
          </c:cat>
          <c:val>
            <c:numRef>
              <c:extLst>
                <c:ext xmlns:c15="http://schemas.microsoft.com/office/drawing/2012/chart" uri="{02D57815-91ED-43cb-92C2-25804820EDAC}">
                  <c15:fullRef>
                    <c15:sqref>'Utregning av grafer'!$J$180:$N$180</c15:sqref>
                  </c15:fullRef>
                </c:ext>
              </c:extLst>
              <c:f>'Utregning av grafer'!$L$180:$N$180</c:f>
              <c:numCache>
                <c:formatCode>0%</c:formatCode>
                <c:ptCount val="3"/>
                <c:pt idx="0">
                  <c:v>0.66666666666666663</c:v>
                </c:pt>
                <c:pt idx="1">
                  <c:v>0</c:v>
                </c:pt>
                <c:pt idx="2">
                  <c:v>0</c:v>
                </c:pt>
              </c:numCache>
            </c:numRef>
          </c:val>
          <c:extLst>
            <c:ext xmlns:c16="http://schemas.microsoft.com/office/drawing/2014/chart" uri="{C3380CC4-5D6E-409C-BE32-E72D297353CC}">
              <c16:uniqueId val="{00000002-36AC-4462-89FA-07D1A5C816F6}"/>
            </c:ext>
          </c:extLst>
        </c:ser>
        <c:dLbls>
          <c:showLegendKey val="0"/>
          <c:showVal val="0"/>
          <c:showCatName val="0"/>
          <c:showSerName val="0"/>
          <c:showPercent val="0"/>
          <c:showBubbleSize val="0"/>
        </c:dLbls>
        <c:gapWidth val="219"/>
        <c:overlap val="-27"/>
        <c:axId val="768503440"/>
        <c:axId val="768497208"/>
      </c:barChart>
      <c:catAx>
        <c:axId val="7685034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768497208"/>
        <c:crosses val="autoZero"/>
        <c:auto val="1"/>
        <c:lblAlgn val="ctr"/>
        <c:lblOffset val="100"/>
        <c:noMultiLvlLbl val="0"/>
      </c:catAx>
      <c:valAx>
        <c:axId val="768497208"/>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768503440"/>
        <c:crosses val="autoZero"/>
        <c:crossBetween val="between"/>
        <c:majorUnit val="0.2"/>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8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0"/>
          <c:order val="0"/>
          <c:tx>
            <c:strRef>
              <c:f>'Utregning av grafer'!$H$184</c:f>
              <c:strCache>
                <c:ptCount val="1"/>
                <c:pt idx="0">
                  <c:v>Andel anskaffelser som har stilt krav til enkel rengjøring</c:v>
                </c:pt>
              </c:strCache>
            </c:strRef>
          </c:tx>
          <c:spPr>
            <a:solidFill>
              <a:srgbClr val="012A4C"/>
            </a:solidFill>
            <a:ln>
              <a:noFill/>
            </a:ln>
            <a:effectLst/>
          </c:spPr>
          <c:invertIfNegative val="0"/>
          <c:cat>
            <c:strRef>
              <c:f>'Utregning av grafer'!$G$185:$G$187</c:f>
              <c:strCache>
                <c:ptCount val="3"/>
                <c:pt idx="0">
                  <c:v>Statlig virksomhet</c:v>
                </c:pt>
                <c:pt idx="1">
                  <c:v>Kommune </c:v>
                </c:pt>
                <c:pt idx="2">
                  <c:v>Fylkeskommune</c:v>
                </c:pt>
              </c:strCache>
            </c:strRef>
          </c:cat>
          <c:val>
            <c:numRef>
              <c:f>'Utregning av grafer'!$H$185:$H$187</c:f>
              <c:numCache>
                <c:formatCode>0%</c:formatCode>
                <c:ptCount val="3"/>
                <c:pt idx="0">
                  <c:v>0.26923076923076922</c:v>
                </c:pt>
                <c:pt idx="1">
                  <c:v>0.41666666666666669</c:v>
                </c:pt>
                <c:pt idx="2">
                  <c:v>1</c:v>
                </c:pt>
              </c:numCache>
            </c:numRef>
          </c:val>
          <c:extLst>
            <c:ext xmlns:c16="http://schemas.microsoft.com/office/drawing/2014/chart" uri="{C3380CC4-5D6E-409C-BE32-E72D297353CC}">
              <c16:uniqueId val="{00000000-2926-4C5A-8C7A-F2C72FEB42D6}"/>
            </c:ext>
          </c:extLst>
        </c:ser>
        <c:ser>
          <c:idx val="1"/>
          <c:order val="1"/>
          <c:tx>
            <c:strRef>
              <c:f>'Utregning av grafer'!$I$184</c:f>
              <c:strCache>
                <c:ptCount val="1"/>
                <c:pt idx="0">
                  <c:v>Andel anskaffelser som har brukt krtierieveiviserens krav</c:v>
                </c:pt>
              </c:strCache>
            </c:strRef>
          </c:tx>
          <c:spPr>
            <a:solidFill>
              <a:srgbClr val="009FE3"/>
            </a:solidFill>
            <a:ln>
              <a:noFill/>
            </a:ln>
            <a:effectLst/>
          </c:spPr>
          <c:invertIfNegative val="0"/>
          <c:cat>
            <c:strRef>
              <c:f>'Utregning av grafer'!$G$185:$G$187</c:f>
              <c:strCache>
                <c:ptCount val="3"/>
                <c:pt idx="0">
                  <c:v>Statlig virksomhet</c:v>
                </c:pt>
                <c:pt idx="1">
                  <c:v>Kommune </c:v>
                </c:pt>
                <c:pt idx="2">
                  <c:v>Fylkeskommune</c:v>
                </c:pt>
              </c:strCache>
            </c:strRef>
          </c:cat>
          <c:val>
            <c:numRef>
              <c:f>'Utregning av grafer'!$I$185:$I$187</c:f>
              <c:numCache>
                <c:formatCode>0%</c:formatCode>
                <c:ptCount val="3"/>
                <c:pt idx="0">
                  <c:v>3.8461538461538464E-2</c:v>
                </c:pt>
                <c:pt idx="1">
                  <c:v>0.25</c:v>
                </c:pt>
                <c:pt idx="2">
                  <c:v>0</c:v>
                </c:pt>
              </c:numCache>
            </c:numRef>
          </c:val>
          <c:extLst>
            <c:ext xmlns:c16="http://schemas.microsoft.com/office/drawing/2014/chart" uri="{C3380CC4-5D6E-409C-BE32-E72D297353CC}">
              <c16:uniqueId val="{00000001-2926-4C5A-8C7A-F2C72FEB42D6}"/>
            </c:ext>
          </c:extLst>
        </c:ser>
        <c:dLbls>
          <c:showLegendKey val="0"/>
          <c:showVal val="0"/>
          <c:showCatName val="0"/>
          <c:showSerName val="0"/>
          <c:showPercent val="0"/>
          <c:showBubbleSize val="0"/>
        </c:dLbls>
        <c:gapWidth val="150"/>
        <c:overlap val="100"/>
        <c:axId val="664885056"/>
        <c:axId val="664875544"/>
        <c:extLst>
          <c:ext xmlns:c15="http://schemas.microsoft.com/office/drawing/2012/chart" uri="{02D57815-91ED-43cb-92C2-25804820EDAC}">
            <c15:filteredBarSeries>
              <c15:ser>
                <c:idx val="2"/>
                <c:order val="2"/>
                <c:tx>
                  <c:strRef>
                    <c:extLst>
                      <c:ext uri="{02D57815-91ED-43cb-92C2-25804820EDAC}">
                        <c15:formulaRef>
                          <c15:sqref>'Utregning av grafer'!$J$184</c15:sqref>
                        </c15:formulaRef>
                      </c:ext>
                    </c:extLst>
                    <c:strCache>
                      <c:ptCount val="1"/>
                      <c:pt idx="0">
                        <c:v>Andel som ikke har stilt krav </c:v>
                      </c:pt>
                    </c:strCache>
                  </c:strRef>
                </c:tx>
                <c:spPr>
                  <a:solidFill>
                    <a:srgbClr val="EFEFEF"/>
                  </a:solidFill>
                  <a:ln>
                    <a:noFill/>
                  </a:ln>
                  <a:effectLst/>
                </c:spPr>
                <c:invertIfNegative val="0"/>
                <c:cat>
                  <c:strRef>
                    <c:extLst>
                      <c:ext uri="{02D57815-91ED-43cb-92C2-25804820EDAC}">
                        <c15:formulaRef>
                          <c15:sqref>'Utregning av grafer'!$G$185:$G$187</c15:sqref>
                        </c15:formulaRef>
                      </c:ext>
                    </c:extLst>
                    <c:strCache>
                      <c:ptCount val="3"/>
                      <c:pt idx="0">
                        <c:v>Statlig virksomhet</c:v>
                      </c:pt>
                      <c:pt idx="1">
                        <c:v>Kommune </c:v>
                      </c:pt>
                      <c:pt idx="2">
                        <c:v>Fylkeskommune</c:v>
                      </c:pt>
                    </c:strCache>
                  </c:strRef>
                </c:cat>
                <c:val>
                  <c:numRef>
                    <c:extLst>
                      <c:ext uri="{02D57815-91ED-43cb-92C2-25804820EDAC}">
                        <c15:formulaRef>
                          <c15:sqref>'Utregning av grafer'!$J$185:$J$187</c15:sqref>
                        </c15:formulaRef>
                      </c:ext>
                    </c:extLst>
                    <c:numCache>
                      <c:formatCode>0%</c:formatCode>
                      <c:ptCount val="3"/>
                      <c:pt idx="0">
                        <c:v>0.69230769230769229</c:v>
                      </c:pt>
                      <c:pt idx="1">
                        <c:v>0.33333333333333331</c:v>
                      </c:pt>
                      <c:pt idx="2">
                        <c:v>0</c:v>
                      </c:pt>
                    </c:numCache>
                  </c:numRef>
                </c:val>
                <c:extLst>
                  <c:ext xmlns:c16="http://schemas.microsoft.com/office/drawing/2014/chart" uri="{C3380CC4-5D6E-409C-BE32-E72D297353CC}">
                    <c16:uniqueId val="{00000002-2926-4C5A-8C7A-F2C72FEB42D6}"/>
                  </c:ext>
                </c:extLst>
              </c15:ser>
            </c15:filteredBarSeries>
          </c:ext>
        </c:extLst>
      </c:barChart>
      <c:catAx>
        <c:axId val="664885056"/>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664875544"/>
        <c:crosses val="autoZero"/>
        <c:auto val="1"/>
        <c:lblAlgn val="ctr"/>
        <c:lblOffset val="100"/>
        <c:noMultiLvlLbl val="0"/>
      </c:catAx>
      <c:valAx>
        <c:axId val="664875544"/>
        <c:scaling>
          <c:orientation val="minMax"/>
          <c:max val="1"/>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664885056"/>
        <c:crosses val="autoZero"/>
        <c:crossBetween val="between"/>
        <c:majorUnit val="0.2"/>
      </c:valAx>
      <c:spPr>
        <a:noFill/>
        <a:ln>
          <a:noFill/>
        </a:ln>
        <a:effectLst/>
      </c:spPr>
    </c:plotArea>
    <c:legend>
      <c:legendPos val="b"/>
      <c:layout>
        <c:manualLayout>
          <c:xMode val="edge"/>
          <c:yMode val="edge"/>
          <c:x val="9.3022317458028136E-2"/>
          <c:y val="0.80757224575829623"/>
          <c:w val="0.86762486235060521"/>
          <c:h val="0.15925301600332475"/>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8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0"/>
          <c:order val="0"/>
          <c:tx>
            <c:strRef>
              <c:f>'Utregning av grafer'!$H$198</c:f>
              <c:strCache>
                <c:ptCount val="1"/>
                <c:pt idx="0">
                  <c:v>Andel anskaffelser som har krav til miljøvennelig emballasje</c:v>
                </c:pt>
              </c:strCache>
            </c:strRef>
          </c:tx>
          <c:spPr>
            <a:solidFill>
              <a:srgbClr val="012A4C"/>
            </a:solidFill>
            <a:ln>
              <a:noFill/>
            </a:ln>
            <a:effectLst/>
          </c:spPr>
          <c:invertIfNegative val="0"/>
          <c:cat>
            <c:strRef>
              <c:f>'Utregning av grafer'!$G$199:$G$201</c:f>
              <c:strCache>
                <c:ptCount val="3"/>
                <c:pt idx="0">
                  <c:v>Statlig virksomhet</c:v>
                </c:pt>
                <c:pt idx="1">
                  <c:v>Kommune </c:v>
                </c:pt>
                <c:pt idx="2">
                  <c:v>Fylkeskommune</c:v>
                </c:pt>
              </c:strCache>
            </c:strRef>
          </c:cat>
          <c:val>
            <c:numRef>
              <c:f>'Utregning av grafer'!$H$199:$H$201</c:f>
              <c:numCache>
                <c:formatCode>0%</c:formatCode>
                <c:ptCount val="3"/>
                <c:pt idx="0">
                  <c:v>7.6923076923076927E-2</c:v>
                </c:pt>
                <c:pt idx="1">
                  <c:v>0.125</c:v>
                </c:pt>
                <c:pt idx="2">
                  <c:v>1</c:v>
                </c:pt>
              </c:numCache>
            </c:numRef>
          </c:val>
          <c:extLst>
            <c:ext xmlns:c16="http://schemas.microsoft.com/office/drawing/2014/chart" uri="{C3380CC4-5D6E-409C-BE32-E72D297353CC}">
              <c16:uniqueId val="{00000000-FBAB-4702-A9D8-5A1EE69A5160}"/>
            </c:ext>
          </c:extLst>
        </c:ser>
        <c:ser>
          <c:idx val="1"/>
          <c:order val="1"/>
          <c:tx>
            <c:strRef>
              <c:f>'Utregning av grafer'!$I$198</c:f>
              <c:strCache>
                <c:ptCount val="1"/>
                <c:pt idx="0">
                  <c:v>Andel anskaffelser som har brukt Kriterieveiviserens krav til miljøvennelig emballasje</c:v>
                </c:pt>
              </c:strCache>
            </c:strRef>
          </c:tx>
          <c:spPr>
            <a:solidFill>
              <a:srgbClr val="009FE3"/>
            </a:solidFill>
            <a:ln>
              <a:noFill/>
            </a:ln>
            <a:effectLst/>
          </c:spPr>
          <c:invertIfNegative val="0"/>
          <c:cat>
            <c:strRef>
              <c:f>'Utregning av grafer'!$G$199:$G$201</c:f>
              <c:strCache>
                <c:ptCount val="3"/>
                <c:pt idx="0">
                  <c:v>Statlig virksomhet</c:v>
                </c:pt>
                <c:pt idx="1">
                  <c:v>Kommune </c:v>
                </c:pt>
                <c:pt idx="2">
                  <c:v>Fylkeskommune</c:v>
                </c:pt>
              </c:strCache>
            </c:strRef>
          </c:cat>
          <c:val>
            <c:numRef>
              <c:f>'Utregning av grafer'!$I$199:$I$201</c:f>
              <c:numCache>
                <c:formatCode>0%</c:formatCode>
                <c:ptCount val="3"/>
                <c:pt idx="0">
                  <c:v>0.15384615384615385</c:v>
                </c:pt>
                <c:pt idx="1">
                  <c:v>0.29166666666666669</c:v>
                </c:pt>
                <c:pt idx="2">
                  <c:v>0</c:v>
                </c:pt>
              </c:numCache>
            </c:numRef>
          </c:val>
          <c:extLst>
            <c:ext xmlns:c16="http://schemas.microsoft.com/office/drawing/2014/chart" uri="{C3380CC4-5D6E-409C-BE32-E72D297353CC}">
              <c16:uniqueId val="{00000001-FBAB-4702-A9D8-5A1EE69A5160}"/>
            </c:ext>
          </c:extLst>
        </c:ser>
        <c:dLbls>
          <c:showLegendKey val="0"/>
          <c:showVal val="0"/>
          <c:showCatName val="0"/>
          <c:showSerName val="0"/>
          <c:showPercent val="0"/>
          <c:showBubbleSize val="0"/>
        </c:dLbls>
        <c:gapWidth val="150"/>
        <c:overlap val="100"/>
        <c:axId val="664885056"/>
        <c:axId val="664875544"/>
        <c:extLst>
          <c:ext xmlns:c15="http://schemas.microsoft.com/office/drawing/2012/chart" uri="{02D57815-91ED-43cb-92C2-25804820EDAC}">
            <c15:filteredBarSeries>
              <c15:ser>
                <c:idx val="2"/>
                <c:order val="2"/>
                <c:tx>
                  <c:strRef>
                    <c:extLst>
                      <c:ext uri="{02D57815-91ED-43cb-92C2-25804820EDAC}">
                        <c15:formulaRef>
                          <c15:sqref>'Utregning av grafer'!$J$198</c15:sqref>
                        </c15:formulaRef>
                      </c:ext>
                    </c:extLst>
                    <c:strCache>
                      <c:ptCount val="1"/>
                      <c:pt idx="0">
                        <c:v>Andel som ikke har stilt krav </c:v>
                      </c:pt>
                    </c:strCache>
                  </c:strRef>
                </c:tx>
                <c:spPr>
                  <a:solidFill>
                    <a:srgbClr val="EFEFEF"/>
                  </a:solidFill>
                  <a:ln>
                    <a:noFill/>
                  </a:ln>
                  <a:effectLst/>
                </c:spPr>
                <c:invertIfNegative val="0"/>
                <c:cat>
                  <c:strRef>
                    <c:extLst>
                      <c:ext uri="{02D57815-91ED-43cb-92C2-25804820EDAC}">
                        <c15:formulaRef>
                          <c15:sqref>'Utregning av grafer'!$G$199:$G$201</c15:sqref>
                        </c15:formulaRef>
                      </c:ext>
                    </c:extLst>
                    <c:strCache>
                      <c:ptCount val="3"/>
                      <c:pt idx="0">
                        <c:v>Statlig virksomhet</c:v>
                      </c:pt>
                      <c:pt idx="1">
                        <c:v>Kommune </c:v>
                      </c:pt>
                      <c:pt idx="2">
                        <c:v>Fylkeskommune</c:v>
                      </c:pt>
                    </c:strCache>
                  </c:strRef>
                </c:cat>
                <c:val>
                  <c:numRef>
                    <c:extLst>
                      <c:ext uri="{02D57815-91ED-43cb-92C2-25804820EDAC}">
                        <c15:formulaRef>
                          <c15:sqref>'Utregning av grafer'!$J$199:$J$201</c15:sqref>
                        </c15:formulaRef>
                      </c:ext>
                    </c:extLst>
                    <c:numCache>
                      <c:formatCode>0%</c:formatCode>
                      <c:ptCount val="3"/>
                      <c:pt idx="0">
                        <c:v>0.76923076923076927</c:v>
                      </c:pt>
                      <c:pt idx="1">
                        <c:v>0.58333333333333337</c:v>
                      </c:pt>
                      <c:pt idx="2">
                        <c:v>0</c:v>
                      </c:pt>
                    </c:numCache>
                  </c:numRef>
                </c:val>
                <c:extLst>
                  <c:ext xmlns:c16="http://schemas.microsoft.com/office/drawing/2014/chart" uri="{C3380CC4-5D6E-409C-BE32-E72D297353CC}">
                    <c16:uniqueId val="{00000002-FBAB-4702-A9D8-5A1EE69A5160}"/>
                  </c:ext>
                </c:extLst>
              </c15:ser>
            </c15:filteredBarSeries>
          </c:ext>
        </c:extLst>
      </c:barChart>
      <c:catAx>
        <c:axId val="664885056"/>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664875544"/>
        <c:crosses val="autoZero"/>
        <c:auto val="1"/>
        <c:lblAlgn val="ctr"/>
        <c:lblOffset val="100"/>
        <c:noMultiLvlLbl val="0"/>
      </c:catAx>
      <c:valAx>
        <c:axId val="664875544"/>
        <c:scaling>
          <c:orientation val="minMax"/>
          <c:max val="1"/>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664885056"/>
        <c:crosses val="autoZero"/>
        <c:crossBetween val="between"/>
        <c:majorUnit val="0.2"/>
      </c:valAx>
      <c:spPr>
        <a:noFill/>
        <a:ln>
          <a:noFill/>
        </a:ln>
        <a:effectLst/>
      </c:spPr>
    </c:plotArea>
    <c:legend>
      <c:legendPos val="b"/>
      <c:layout>
        <c:manualLayout>
          <c:xMode val="edge"/>
          <c:yMode val="edge"/>
          <c:x val="9.3022317458028136E-2"/>
          <c:y val="0.80757224575829623"/>
          <c:w val="0.86762486235060521"/>
          <c:h val="0.17994090107935348"/>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8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0"/>
          <c:order val="0"/>
          <c:tx>
            <c:strRef>
              <c:f>'Utregning av grafer'!$H$206</c:f>
              <c:strCache>
                <c:ptCount val="1"/>
                <c:pt idx="0">
                  <c:v>Andel anskaffelser som har krav til gjenvinnbar emballasje</c:v>
                </c:pt>
              </c:strCache>
            </c:strRef>
          </c:tx>
          <c:spPr>
            <a:solidFill>
              <a:srgbClr val="012A4C"/>
            </a:solidFill>
            <a:ln>
              <a:noFill/>
            </a:ln>
            <a:effectLst/>
          </c:spPr>
          <c:invertIfNegative val="0"/>
          <c:cat>
            <c:strRef>
              <c:f>'Utregning av grafer'!$G$207:$G$209</c:f>
              <c:strCache>
                <c:ptCount val="3"/>
                <c:pt idx="0">
                  <c:v>Statlig virksomhet</c:v>
                </c:pt>
                <c:pt idx="1">
                  <c:v>Kommune </c:v>
                </c:pt>
                <c:pt idx="2">
                  <c:v>Fylkeskommune</c:v>
                </c:pt>
              </c:strCache>
            </c:strRef>
          </c:cat>
          <c:val>
            <c:numRef>
              <c:f>'Utregning av grafer'!$H$207:$H$209</c:f>
              <c:numCache>
                <c:formatCode>0%</c:formatCode>
                <c:ptCount val="3"/>
                <c:pt idx="0">
                  <c:v>0.5</c:v>
                </c:pt>
                <c:pt idx="1">
                  <c:v>0.58333333333333337</c:v>
                </c:pt>
                <c:pt idx="2">
                  <c:v>1</c:v>
                </c:pt>
              </c:numCache>
            </c:numRef>
          </c:val>
          <c:extLst>
            <c:ext xmlns:c16="http://schemas.microsoft.com/office/drawing/2014/chart" uri="{C3380CC4-5D6E-409C-BE32-E72D297353CC}">
              <c16:uniqueId val="{00000000-39B2-4D90-8F06-379C8F8E31E3}"/>
            </c:ext>
          </c:extLst>
        </c:ser>
        <c:ser>
          <c:idx val="1"/>
          <c:order val="1"/>
          <c:tx>
            <c:strRef>
              <c:f>'Utregning av grafer'!$I$206</c:f>
              <c:strCache>
                <c:ptCount val="1"/>
                <c:pt idx="0">
                  <c:v>Andel anskaffelser som har brukt Kriterieveiviserens krav til gjenvinnbar emballasje</c:v>
                </c:pt>
              </c:strCache>
            </c:strRef>
          </c:tx>
          <c:spPr>
            <a:solidFill>
              <a:srgbClr val="009FE3"/>
            </a:solidFill>
            <a:ln>
              <a:noFill/>
            </a:ln>
            <a:effectLst/>
          </c:spPr>
          <c:invertIfNegative val="0"/>
          <c:cat>
            <c:strRef>
              <c:f>'Utregning av grafer'!$G$207:$G$209</c:f>
              <c:strCache>
                <c:ptCount val="3"/>
                <c:pt idx="0">
                  <c:v>Statlig virksomhet</c:v>
                </c:pt>
                <c:pt idx="1">
                  <c:v>Kommune </c:v>
                </c:pt>
                <c:pt idx="2">
                  <c:v>Fylkeskommune</c:v>
                </c:pt>
              </c:strCache>
            </c:strRef>
          </c:cat>
          <c:val>
            <c:numRef>
              <c:f>'Utregning av grafer'!$I$207:$I$209</c:f>
              <c:numCache>
                <c:formatCode>0%</c:formatCode>
                <c:ptCount val="3"/>
                <c:pt idx="0">
                  <c:v>0.13207547169811321</c:v>
                </c:pt>
                <c:pt idx="1">
                  <c:v>0.13207547169811321</c:v>
                </c:pt>
                <c:pt idx="2">
                  <c:v>0</c:v>
                </c:pt>
              </c:numCache>
            </c:numRef>
          </c:val>
          <c:extLst>
            <c:ext xmlns:c16="http://schemas.microsoft.com/office/drawing/2014/chart" uri="{C3380CC4-5D6E-409C-BE32-E72D297353CC}">
              <c16:uniqueId val="{00000001-39B2-4D90-8F06-379C8F8E31E3}"/>
            </c:ext>
          </c:extLst>
        </c:ser>
        <c:dLbls>
          <c:showLegendKey val="0"/>
          <c:showVal val="0"/>
          <c:showCatName val="0"/>
          <c:showSerName val="0"/>
          <c:showPercent val="0"/>
          <c:showBubbleSize val="0"/>
        </c:dLbls>
        <c:gapWidth val="150"/>
        <c:overlap val="100"/>
        <c:axId val="664885056"/>
        <c:axId val="664875544"/>
        <c:extLst>
          <c:ext xmlns:c15="http://schemas.microsoft.com/office/drawing/2012/chart" uri="{02D57815-91ED-43cb-92C2-25804820EDAC}">
            <c15:filteredBarSeries>
              <c15:ser>
                <c:idx val="2"/>
                <c:order val="2"/>
                <c:tx>
                  <c:strRef>
                    <c:extLst>
                      <c:ext uri="{02D57815-91ED-43cb-92C2-25804820EDAC}">
                        <c15:formulaRef>
                          <c15:sqref>'Utregning av grafer'!$J$206</c15:sqref>
                        </c15:formulaRef>
                      </c:ext>
                    </c:extLst>
                    <c:strCache>
                      <c:ptCount val="1"/>
                      <c:pt idx="0">
                        <c:v>Andel som ikke har stilt krav </c:v>
                      </c:pt>
                    </c:strCache>
                  </c:strRef>
                </c:tx>
                <c:spPr>
                  <a:solidFill>
                    <a:srgbClr val="EFEFEF"/>
                  </a:solidFill>
                  <a:ln>
                    <a:noFill/>
                  </a:ln>
                  <a:effectLst/>
                </c:spPr>
                <c:invertIfNegative val="0"/>
                <c:cat>
                  <c:strRef>
                    <c:extLst>
                      <c:ext uri="{02D57815-91ED-43cb-92C2-25804820EDAC}">
                        <c15:formulaRef>
                          <c15:sqref>'Utregning av grafer'!$G$207:$G$209</c15:sqref>
                        </c15:formulaRef>
                      </c:ext>
                    </c:extLst>
                    <c:strCache>
                      <c:ptCount val="3"/>
                      <c:pt idx="0">
                        <c:v>Statlig virksomhet</c:v>
                      </c:pt>
                      <c:pt idx="1">
                        <c:v>Kommune </c:v>
                      </c:pt>
                      <c:pt idx="2">
                        <c:v>Fylkeskommune</c:v>
                      </c:pt>
                    </c:strCache>
                  </c:strRef>
                </c:cat>
                <c:val>
                  <c:numRef>
                    <c:extLst>
                      <c:ext uri="{02D57815-91ED-43cb-92C2-25804820EDAC}">
                        <c15:formulaRef>
                          <c15:sqref>'Utregning av grafer'!$J$207:$J$209</c15:sqref>
                        </c15:formulaRef>
                      </c:ext>
                    </c:extLst>
                    <c:numCache>
                      <c:formatCode>0%</c:formatCode>
                      <c:ptCount val="3"/>
                      <c:pt idx="0">
                        <c:v>0.11320754716981132</c:v>
                      </c:pt>
                      <c:pt idx="1">
                        <c:v>5.6603773584905662E-2</c:v>
                      </c:pt>
                      <c:pt idx="2">
                        <c:v>0</c:v>
                      </c:pt>
                    </c:numCache>
                  </c:numRef>
                </c:val>
                <c:extLst>
                  <c:ext xmlns:c16="http://schemas.microsoft.com/office/drawing/2014/chart" uri="{C3380CC4-5D6E-409C-BE32-E72D297353CC}">
                    <c16:uniqueId val="{00000002-39B2-4D90-8F06-379C8F8E31E3}"/>
                  </c:ext>
                </c:extLst>
              </c15:ser>
            </c15:filteredBarSeries>
          </c:ext>
        </c:extLst>
      </c:barChart>
      <c:catAx>
        <c:axId val="664885056"/>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664875544"/>
        <c:crosses val="autoZero"/>
        <c:auto val="1"/>
        <c:lblAlgn val="ctr"/>
        <c:lblOffset val="100"/>
        <c:noMultiLvlLbl val="0"/>
      </c:catAx>
      <c:valAx>
        <c:axId val="664875544"/>
        <c:scaling>
          <c:orientation val="minMax"/>
          <c:max val="1"/>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664885056"/>
        <c:crosses val="autoZero"/>
        <c:crossBetween val="between"/>
        <c:majorUnit val="0.2"/>
      </c:valAx>
      <c:spPr>
        <a:noFill/>
        <a:ln>
          <a:noFill/>
        </a:ln>
        <a:effectLst/>
      </c:spPr>
    </c:plotArea>
    <c:legend>
      <c:legendPos val="b"/>
      <c:layout>
        <c:manualLayout>
          <c:xMode val="edge"/>
          <c:yMode val="edge"/>
          <c:x val="9.5781777681112998E-2"/>
          <c:y val="0.84371893444910084"/>
          <c:w val="0.86762486235060521"/>
          <c:h val="0.1510471059538610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8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spPr>
            <a:solidFill>
              <a:srgbClr val="012A4C"/>
            </a:solidFill>
            <a:ln>
              <a:noFill/>
            </a:ln>
            <a:effectLst/>
          </c:spPr>
          <c:invertIfNegative val="0"/>
          <c:cat>
            <c:strRef>
              <c:f>'Utregning av grafer'!$F$235:$F$237</c:f>
              <c:strCache>
                <c:ptCount val="3"/>
                <c:pt idx="0">
                  <c:v>Statlig virksomhet</c:v>
                </c:pt>
                <c:pt idx="1">
                  <c:v>Kommune </c:v>
                </c:pt>
                <c:pt idx="2">
                  <c:v>Fylkeskommune</c:v>
                </c:pt>
              </c:strCache>
            </c:strRef>
          </c:cat>
          <c:val>
            <c:numRef>
              <c:f>'Utregning av grafer'!$G$235:$G$237</c:f>
              <c:numCache>
                <c:formatCode>0%</c:formatCode>
                <c:ptCount val="3"/>
                <c:pt idx="0">
                  <c:v>0.38461538461538464</c:v>
                </c:pt>
                <c:pt idx="1">
                  <c:v>0.5</c:v>
                </c:pt>
                <c:pt idx="2">
                  <c:v>0</c:v>
                </c:pt>
              </c:numCache>
            </c:numRef>
          </c:val>
          <c:extLst>
            <c:ext xmlns:c16="http://schemas.microsoft.com/office/drawing/2014/chart" uri="{C3380CC4-5D6E-409C-BE32-E72D297353CC}">
              <c16:uniqueId val="{00000000-1AE7-4BDB-902B-F8FF38A035CA}"/>
            </c:ext>
          </c:extLst>
        </c:ser>
        <c:dLbls>
          <c:showLegendKey val="0"/>
          <c:showVal val="0"/>
          <c:showCatName val="0"/>
          <c:showSerName val="0"/>
          <c:showPercent val="0"/>
          <c:showBubbleSize val="0"/>
        </c:dLbls>
        <c:gapWidth val="219"/>
        <c:axId val="344014608"/>
        <c:axId val="344014936"/>
      </c:barChart>
      <c:catAx>
        <c:axId val="344014608"/>
        <c:scaling>
          <c:orientation val="minMax"/>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344014936"/>
        <c:crosses val="autoZero"/>
        <c:auto val="1"/>
        <c:lblAlgn val="ctr"/>
        <c:lblOffset val="100"/>
        <c:noMultiLvlLbl val="0"/>
      </c:catAx>
      <c:valAx>
        <c:axId val="344014936"/>
        <c:scaling>
          <c:orientation val="minMax"/>
          <c:max val="1"/>
        </c:scaling>
        <c:delete val="0"/>
        <c:axPos val="b"/>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spPr>
          <a:noFill/>
          <a:ln>
            <a:noFill/>
          </a:ln>
          <a:effectLst/>
        </c:spPr>
        <c:txPr>
          <a:bodyPr rot="-60000000" spcFirstLastPara="1" vertOverflow="ellipsis" vert="horz" wrap="square" anchor="b"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344014608"/>
        <c:crosses val="autoZero"/>
        <c:crossBetween val="between"/>
        <c:majorUnit val="0.2"/>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9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spPr>
            <a:solidFill>
              <a:srgbClr val="012A4C"/>
            </a:solidFill>
            <a:ln>
              <a:noFill/>
            </a:ln>
            <a:effectLst/>
          </c:spPr>
          <c:invertIfNegative val="0"/>
          <c:cat>
            <c:strRef>
              <c:f>'Utregning av grafer'!$F$243:$F$245</c:f>
              <c:strCache>
                <c:ptCount val="3"/>
                <c:pt idx="0">
                  <c:v>Statlig virksomhet</c:v>
                </c:pt>
                <c:pt idx="1">
                  <c:v>Kommune </c:v>
                </c:pt>
                <c:pt idx="2">
                  <c:v>Fylkeskommune</c:v>
                </c:pt>
              </c:strCache>
            </c:strRef>
          </c:cat>
          <c:val>
            <c:numRef>
              <c:f>'Utregning av grafer'!$G$243:$G$245</c:f>
              <c:numCache>
                <c:formatCode>0%</c:formatCode>
                <c:ptCount val="3"/>
                <c:pt idx="0">
                  <c:v>0.5</c:v>
                </c:pt>
                <c:pt idx="1">
                  <c:v>0.54166666666666663</c:v>
                </c:pt>
                <c:pt idx="2">
                  <c:v>0.66666666666666663</c:v>
                </c:pt>
              </c:numCache>
            </c:numRef>
          </c:val>
          <c:extLst>
            <c:ext xmlns:c16="http://schemas.microsoft.com/office/drawing/2014/chart" uri="{C3380CC4-5D6E-409C-BE32-E72D297353CC}">
              <c16:uniqueId val="{00000000-A9A4-4B0A-8C33-93800F757595}"/>
            </c:ext>
          </c:extLst>
        </c:ser>
        <c:dLbls>
          <c:showLegendKey val="0"/>
          <c:showVal val="0"/>
          <c:showCatName val="0"/>
          <c:showSerName val="0"/>
          <c:showPercent val="0"/>
          <c:showBubbleSize val="0"/>
        </c:dLbls>
        <c:gapWidth val="219"/>
        <c:axId val="344014608"/>
        <c:axId val="344014936"/>
      </c:barChart>
      <c:catAx>
        <c:axId val="344014608"/>
        <c:scaling>
          <c:orientation val="minMax"/>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344014936"/>
        <c:crosses val="autoZero"/>
        <c:auto val="1"/>
        <c:lblAlgn val="ctr"/>
        <c:lblOffset val="100"/>
        <c:noMultiLvlLbl val="0"/>
      </c:catAx>
      <c:valAx>
        <c:axId val="344014936"/>
        <c:scaling>
          <c:orientation val="minMax"/>
          <c:max val="1"/>
        </c:scaling>
        <c:delete val="0"/>
        <c:axPos val="b"/>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spPr>
          <a:noFill/>
          <a:ln>
            <a:noFill/>
          </a:ln>
          <a:effectLst/>
        </c:spPr>
        <c:txPr>
          <a:bodyPr rot="-60000000" spcFirstLastPara="1" vertOverflow="ellipsis" vert="horz" wrap="square" anchor="b"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344014608"/>
        <c:crosses val="autoZero"/>
        <c:crossBetween val="between"/>
        <c:majorUnit val="0.2"/>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9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spPr>
            <a:solidFill>
              <a:srgbClr val="012A4C"/>
            </a:solidFill>
            <a:ln>
              <a:noFill/>
            </a:ln>
            <a:effectLst/>
          </c:spPr>
          <c:invertIfNegative val="0"/>
          <c:cat>
            <c:strRef>
              <c:f>'Utregning av grafer'!$F$251:$F$253</c:f>
              <c:strCache>
                <c:ptCount val="3"/>
                <c:pt idx="0">
                  <c:v>Statlig virksomhet</c:v>
                </c:pt>
                <c:pt idx="1">
                  <c:v>Kommune </c:v>
                </c:pt>
                <c:pt idx="2">
                  <c:v>Fylkeskommune</c:v>
                </c:pt>
              </c:strCache>
            </c:strRef>
          </c:cat>
          <c:val>
            <c:numRef>
              <c:f>'Utregning av grafer'!$G$251:$G$253</c:f>
              <c:numCache>
                <c:formatCode>0%</c:formatCode>
                <c:ptCount val="3"/>
                <c:pt idx="0">
                  <c:v>0.19230769230769232</c:v>
                </c:pt>
                <c:pt idx="1">
                  <c:v>0.45833333333333331</c:v>
                </c:pt>
                <c:pt idx="2">
                  <c:v>0</c:v>
                </c:pt>
              </c:numCache>
            </c:numRef>
          </c:val>
          <c:extLst>
            <c:ext xmlns:c16="http://schemas.microsoft.com/office/drawing/2014/chart" uri="{C3380CC4-5D6E-409C-BE32-E72D297353CC}">
              <c16:uniqueId val="{00000000-B747-4577-9D37-DFEA4DE874BB}"/>
            </c:ext>
          </c:extLst>
        </c:ser>
        <c:dLbls>
          <c:showLegendKey val="0"/>
          <c:showVal val="0"/>
          <c:showCatName val="0"/>
          <c:showSerName val="0"/>
          <c:showPercent val="0"/>
          <c:showBubbleSize val="0"/>
        </c:dLbls>
        <c:gapWidth val="219"/>
        <c:axId val="344014608"/>
        <c:axId val="344014936"/>
      </c:barChart>
      <c:catAx>
        <c:axId val="344014608"/>
        <c:scaling>
          <c:orientation val="minMax"/>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344014936"/>
        <c:crosses val="autoZero"/>
        <c:auto val="1"/>
        <c:lblAlgn val="ctr"/>
        <c:lblOffset val="100"/>
        <c:noMultiLvlLbl val="0"/>
      </c:catAx>
      <c:valAx>
        <c:axId val="344014936"/>
        <c:scaling>
          <c:orientation val="minMax"/>
          <c:max val="1"/>
        </c:scaling>
        <c:delete val="0"/>
        <c:axPos val="b"/>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spPr>
          <a:noFill/>
          <a:ln>
            <a:noFill/>
          </a:ln>
          <a:effectLst/>
        </c:spPr>
        <c:txPr>
          <a:bodyPr rot="-60000000" spcFirstLastPara="1" vertOverflow="ellipsis" vert="horz" wrap="square" anchor="b"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344014608"/>
        <c:crosses val="autoZero"/>
        <c:crossBetween val="between"/>
        <c:majorUnit val="0.2"/>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9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spPr>
            <a:solidFill>
              <a:srgbClr val="012A4C"/>
            </a:solidFill>
            <a:ln>
              <a:noFill/>
            </a:ln>
            <a:effectLst/>
          </c:spPr>
          <c:invertIfNegative val="0"/>
          <c:cat>
            <c:strRef>
              <c:f>'Utregning av grafer'!$F$259:$F$261</c:f>
              <c:strCache>
                <c:ptCount val="3"/>
                <c:pt idx="0">
                  <c:v>Statlig virksomhet</c:v>
                </c:pt>
                <c:pt idx="1">
                  <c:v>Kommune </c:v>
                </c:pt>
                <c:pt idx="2">
                  <c:v>Fylkeskommune</c:v>
                </c:pt>
              </c:strCache>
            </c:strRef>
          </c:cat>
          <c:val>
            <c:numRef>
              <c:f>'Utregning av grafer'!$G$259:$G$261</c:f>
              <c:numCache>
                <c:formatCode>0%</c:formatCode>
                <c:ptCount val="3"/>
                <c:pt idx="0">
                  <c:v>0.23076923076923078</c:v>
                </c:pt>
                <c:pt idx="1">
                  <c:v>0.20833333333333334</c:v>
                </c:pt>
                <c:pt idx="2">
                  <c:v>0.33333333333333331</c:v>
                </c:pt>
              </c:numCache>
            </c:numRef>
          </c:val>
          <c:extLst>
            <c:ext xmlns:c16="http://schemas.microsoft.com/office/drawing/2014/chart" uri="{C3380CC4-5D6E-409C-BE32-E72D297353CC}">
              <c16:uniqueId val="{00000000-4AED-4DE6-80DE-3FED613B0B85}"/>
            </c:ext>
          </c:extLst>
        </c:ser>
        <c:dLbls>
          <c:showLegendKey val="0"/>
          <c:showVal val="0"/>
          <c:showCatName val="0"/>
          <c:showSerName val="0"/>
          <c:showPercent val="0"/>
          <c:showBubbleSize val="0"/>
        </c:dLbls>
        <c:gapWidth val="219"/>
        <c:axId val="344014608"/>
        <c:axId val="344014936"/>
      </c:barChart>
      <c:catAx>
        <c:axId val="344014608"/>
        <c:scaling>
          <c:orientation val="minMax"/>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344014936"/>
        <c:crosses val="autoZero"/>
        <c:auto val="1"/>
        <c:lblAlgn val="ctr"/>
        <c:lblOffset val="100"/>
        <c:noMultiLvlLbl val="0"/>
      </c:catAx>
      <c:valAx>
        <c:axId val="344014936"/>
        <c:scaling>
          <c:orientation val="minMax"/>
          <c:max val="1"/>
        </c:scaling>
        <c:delete val="0"/>
        <c:axPos val="b"/>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spPr>
          <a:noFill/>
          <a:ln>
            <a:noFill/>
          </a:ln>
          <a:effectLst/>
        </c:spPr>
        <c:txPr>
          <a:bodyPr rot="-60000000" spcFirstLastPara="1" vertOverflow="ellipsis" vert="horz" wrap="square" anchor="b"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344014608"/>
        <c:crosses val="autoZero"/>
        <c:crossBetween val="between"/>
        <c:majorUnit val="0.2"/>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9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spPr>
            <a:solidFill>
              <a:srgbClr val="012A4C"/>
            </a:solidFill>
            <a:ln>
              <a:noFill/>
            </a:ln>
            <a:effectLst/>
          </c:spPr>
          <c:invertIfNegative val="0"/>
          <c:cat>
            <c:strRef>
              <c:f>'Utregning av grafer'!$F$267:$F$269</c:f>
              <c:strCache>
                <c:ptCount val="3"/>
                <c:pt idx="0">
                  <c:v>Statlig virksomhet</c:v>
                </c:pt>
                <c:pt idx="1">
                  <c:v>Kommune </c:v>
                </c:pt>
                <c:pt idx="2">
                  <c:v>Fylkeskommune</c:v>
                </c:pt>
              </c:strCache>
            </c:strRef>
          </c:cat>
          <c:val>
            <c:numRef>
              <c:f>'Utregning av grafer'!$G$267:$G$269</c:f>
              <c:numCache>
                <c:formatCode>0%</c:formatCode>
                <c:ptCount val="3"/>
                <c:pt idx="0">
                  <c:v>0.11538461538461539</c:v>
                </c:pt>
                <c:pt idx="1">
                  <c:v>0.45833333333333331</c:v>
                </c:pt>
                <c:pt idx="2">
                  <c:v>0.33333333333333331</c:v>
                </c:pt>
              </c:numCache>
            </c:numRef>
          </c:val>
          <c:extLst>
            <c:ext xmlns:c16="http://schemas.microsoft.com/office/drawing/2014/chart" uri="{C3380CC4-5D6E-409C-BE32-E72D297353CC}">
              <c16:uniqueId val="{00000000-33D2-44B1-B48F-5867A6A23EC1}"/>
            </c:ext>
          </c:extLst>
        </c:ser>
        <c:dLbls>
          <c:showLegendKey val="0"/>
          <c:showVal val="0"/>
          <c:showCatName val="0"/>
          <c:showSerName val="0"/>
          <c:showPercent val="0"/>
          <c:showBubbleSize val="0"/>
        </c:dLbls>
        <c:gapWidth val="219"/>
        <c:axId val="344014608"/>
        <c:axId val="344014936"/>
      </c:barChart>
      <c:catAx>
        <c:axId val="344014608"/>
        <c:scaling>
          <c:orientation val="minMax"/>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344014936"/>
        <c:crosses val="autoZero"/>
        <c:auto val="1"/>
        <c:lblAlgn val="ctr"/>
        <c:lblOffset val="100"/>
        <c:noMultiLvlLbl val="0"/>
      </c:catAx>
      <c:valAx>
        <c:axId val="344014936"/>
        <c:scaling>
          <c:orientation val="minMax"/>
          <c:max val="1"/>
        </c:scaling>
        <c:delete val="0"/>
        <c:axPos val="b"/>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spPr>
          <a:noFill/>
          <a:ln>
            <a:noFill/>
          </a:ln>
          <a:effectLst/>
        </c:spPr>
        <c:txPr>
          <a:bodyPr rot="-60000000" spcFirstLastPara="1" vertOverflow="ellipsis" vert="horz" wrap="square" anchor="b"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344014608"/>
        <c:crosses val="autoZero"/>
        <c:crossBetween val="between"/>
        <c:majorUnit val="0.2"/>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9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0"/>
          <c:order val="0"/>
          <c:tx>
            <c:strRef>
              <c:f>'Utregning av grafer'!$H$274</c:f>
              <c:strCache>
                <c:ptCount val="1"/>
                <c:pt idx="0">
                  <c:v>Andel anskaffelser som har krav til flammehemmere</c:v>
                </c:pt>
              </c:strCache>
            </c:strRef>
          </c:tx>
          <c:spPr>
            <a:solidFill>
              <a:srgbClr val="012A4C"/>
            </a:solidFill>
            <a:ln>
              <a:noFill/>
            </a:ln>
            <a:effectLst/>
          </c:spPr>
          <c:invertIfNegative val="0"/>
          <c:cat>
            <c:strRef>
              <c:f>'Utregning av grafer'!$G$275:$G$277</c:f>
              <c:strCache>
                <c:ptCount val="3"/>
                <c:pt idx="0">
                  <c:v>Statlig virksomhet</c:v>
                </c:pt>
                <c:pt idx="1">
                  <c:v>Kommune </c:v>
                </c:pt>
                <c:pt idx="2">
                  <c:v>Fylkeskommune</c:v>
                </c:pt>
              </c:strCache>
            </c:strRef>
          </c:cat>
          <c:val>
            <c:numRef>
              <c:f>'Utregning av grafer'!$H$275:$H$277</c:f>
              <c:numCache>
                <c:formatCode>0%</c:formatCode>
                <c:ptCount val="3"/>
                <c:pt idx="0">
                  <c:v>0.38461538461538464</c:v>
                </c:pt>
                <c:pt idx="1">
                  <c:v>0.25</c:v>
                </c:pt>
                <c:pt idx="2">
                  <c:v>0.33333333333333331</c:v>
                </c:pt>
              </c:numCache>
            </c:numRef>
          </c:val>
          <c:extLst>
            <c:ext xmlns:c16="http://schemas.microsoft.com/office/drawing/2014/chart" uri="{C3380CC4-5D6E-409C-BE32-E72D297353CC}">
              <c16:uniqueId val="{00000000-4273-486C-919A-7390063B38D3}"/>
            </c:ext>
          </c:extLst>
        </c:ser>
        <c:ser>
          <c:idx val="1"/>
          <c:order val="1"/>
          <c:tx>
            <c:strRef>
              <c:f>'Utregning av grafer'!$I$274</c:f>
              <c:strCache>
                <c:ptCount val="1"/>
                <c:pt idx="0">
                  <c:v>Andel anskaffelser som har brukt Kriterieveiviserens krav til flammehemmere</c:v>
                </c:pt>
              </c:strCache>
            </c:strRef>
          </c:tx>
          <c:spPr>
            <a:solidFill>
              <a:srgbClr val="009FE3"/>
            </a:solidFill>
            <a:ln>
              <a:noFill/>
            </a:ln>
            <a:effectLst/>
          </c:spPr>
          <c:invertIfNegative val="0"/>
          <c:cat>
            <c:strRef>
              <c:f>'Utregning av grafer'!$G$275:$G$277</c:f>
              <c:strCache>
                <c:ptCount val="3"/>
                <c:pt idx="0">
                  <c:v>Statlig virksomhet</c:v>
                </c:pt>
                <c:pt idx="1">
                  <c:v>Kommune </c:v>
                </c:pt>
                <c:pt idx="2">
                  <c:v>Fylkeskommune</c:v>
                </c:pt>
              </c:strCache>
            </c:strRef>
          </c:cat>
          <c:val>
            <c:numRef>
              <c:f>'Utregning av grafer'!$I$275:$I$277</c:f>
              <c:numCache>
                <c:formatCode>0%</c:formatCode>
                <c:ptCount val="3"/>
                <c:pt idx="0">
                  <c:v>0.19230769230769232</c:v>
                </c:pt>
                <c:pt idx="1">
                  <c:v>0.41666666666666669</c:v>
                </c:pt>
                <c:pt idx="2">
                  <c:v>0</c:v>
                </c:pt>
              </c:numCache>
            </c:numRef>
          </c:val>
          <c:extLst>
            <c:ext xmlns:c16="http://schemas.microsoft.com/office/drawing/2014/chart" uri="{C3380CC4-5D6E-409C-BE32-E72D297353CC}">
              <c16:uniqueId val="{00000001-4273-486C-919A-7390063B38D3}"/>
            </c:ext>
          </c:extLst>
        </c:ser>
        <c:dLbls>
          <c:showLegendKey val="0"/>
          <c:showVal val="0"/>
          <c:showCatName val="0"/>
          <c:showSerName val="0"/>
          <c:showPercent val="0"/>
          <c:showBubbleSize val="0"/>
        </c:dLbls>
        <c:gapWidth val="150"/>
        <c:overlap val="100"/>
        <c:axId val="664885056"/>
        <c:axId val="664875544"/>
        <c:extLst/>
      </c:barChart>
      <c:catAx>
        <c:axId val="664885056"/>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664875544"/>
        <c:crosses val="autoZero"/>
        <c:auto val="1"/>
        <c:lblAlgn val="ctr"/>
        <c:lblOffset val="100"/>
        <c:noMultiLvlLbl val="0"/>
      </c:catAx>
      <c:valAx>
        <c:axId val="664875544"/>
        <c:scaling>
          <c:orientation val="minMax"/>
          <c:max val="1"/>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664885056"/>
        <c:crosses val="autoZero"/>
        <c:crossBetween val="between"/>
        <c:majorUnit val="0.2"/>
      </c:valAx>
      <c:spPr>
        <a:noFill/>
        <a:ln>
          <a:noFill/>
        </a:ln>
        <a:effectLst/>
      </c:spPr>
    </c:plotArea>
    <c:legend>
      <c:legendPos val="b"/>
      <c:layout>
        <c:manualLayout>
          <c:xMode val="edge"/>
          <c:yMode val="edge"/>
          <c:x val="3.4446608934797902E-2"/>
          <c:y val="0.81722812180946425"/>
          <c:w val="0.92837712333775324"/>
          <c:h val="0.1724223693528045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9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0"/>
          <c:order val="0"/>
          <c:tx>
            <c:strRef>
              <c:f>'Utregning av grafer'!$H$282</c:f>
              <c:strCache>
                <c:ptCount val="1"/>
                <c:pt idx="0">
                  <c:v>Andel anskaffelser som har krav til PVC</c:v>
                </c:pt>
              </c:strCache>
            </c:strRef>
          </c:tx>
          <c:spPr>
            <a:solidFill>
              <a:srgbClr val="012A4C"/>
            </a:solidFill>
            <a:ln>
              <a:noFill/>
            </a:ln>
            <a:effectLst/>
          </c:spPr>
          <c:invertIfNegative val="0"/>
          <c:cat>
            <c:strRef>
              <c:f>'Utregning av grafer'!$G$283:$G$285</c:f>
              <c:strCache>
                <c:ptCount val="3"/>
                <c:pt idx="0">
                  <c:v>Statlig virksomhet</c:v>
                </c:pt>
                <c:pt idx="1">
                  <c:v>Kommune </c:v>
                </c:pt>
                <c:pt idx="2">
                  <c:v>Fylkeskommune</c:v>
                </c:pt>
              </c:strCache>
            </c:strRef>
          </c:cat>
          <c:val>
            <c:numRef>
              <c:f>'Utregning av grafer'!$H$283:$H$285</c:f>
              <c:numCache>
                <c:formatCode>0%</c:formatCode>
                <c:ptCount val="3"/>
                <c:pt idx="0">
                  <c:v>0</c:v>
                </c:pt>
                <c:pt idx="1">
                  <c:v>0.20833333333333334</c:v>
                </c:pt>
                <c:pt idx="2">
                  <c:v>0.33333333333333331</c:v>
                </c:pt>
              </c:numCache>
            </c:numRef>
          </c:val>
          <c:extLst>
            <c:ext xmlns:c16="http://schemas.microsoft.com/office/drawing/2014/chart" uri="{C3380CC4-5D6E-409C-BE32-E72D297353CC}">
              <c16:uniqueId val="{00000000-E9A8-4AFE-928A-F356C6D0DE6F}"/>
            </c:ext>
          </c:extLst>
        </c:ser>
        <c:ser>
          <c:idx val="1"/>
          <c:order val="1"/>
          <c:tx>
            <c:strRef>
              <c:f>'Utregning av grafer'!$I$282</c:f>
              <c:strCache>
                <c:ptCount val="1"/>
                <c:pt idx="0">
                  <c:v>Andel anskaffelser som har brukt Kriterieveiviserens krav til PVC</c:v>
                </c:pt>
              </c:strCache>
            </c:strRef>
          </c:tx>
          <c:spPr>
            <a:solidFill>
              <a:srgbClr val="009FE3"/>
            </a:solidFill>
            <a:ln>
              <a:noFill/>
            </a:ln>
            <a:effectLst/>
          </c:spPr>
          <c:invertIfNegative val="0"/>
          <c:cat>
            <c:strRef>
              <c:f>'Utregning av grafer'!$G$283:$G$285</c:f>
              <c:strCache>
                <c:ptCount val="3"/>
                <c:pt idx="0">
                  <c:v>Statlig virksomhet</c:v>
                </c:pt>
                <c:pt idx="1">
                  <c:v>Kommune </c:v>
                </c:pt>
                <c:pt idx="2">
                  <c:v>Fylkeskommune</c:v>
                </c:pt>
              </c:strCache>
            </c:strRef>
          </c:cat>
          <c:val>
            <c:numRef>
              <c:f>'Utregning av grafer'!$I$283:$I$285</c:f>
              <c:numCache>
                <c:formatCode>0%</c:formatCode>
                <c:ptCount val="3"/>
                <c:pt idx="0">
                  <c:v>0.15384615384615385</c:v>
                </c:pt>
                <c:pt idx="1">
                  <c:v>0.375</c:v>
                </c:pt>
                <c:pt idx="2">
                  <c:v>0</c:v>
                </c:pt>
              </c:numCache>
            </c:numRef>
          </c:val>
          <c:extLst>
            <c:ext xmlns:c16="http://schemas.microsoft.com/office/drawing/2014/chart" uri="{C3380CC4-5D6E-409C-BE32-E72D297353CC}">
              <c16:uniqueId val="{00000001-E9A8-4AFE-928A-F356C6D0DE6F}"/>
            </c:ext>
          </c:extLst>
        </c:ser>
        <c:dLbls>
          <c:showLegendKey val="0"/>
          <c:showVal val="0"/>
          <c:showCatName val="0"/>
          <c:showSerName val="0"/>
          <c:showPercent val="0"/>
          <c:showBubbleSize val="0"/>
        </c:dLbls>
        <c:gapWidth val="150"/>
        <c:overlap val="100"/>
        <c:axId val="664885056"/>
        <c:axId val="664875544"/>
        <c:extLst/>
      </c:barChart>
      <c:catAx>
        <c:axId val="664885056"/>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664875544"/>
        <c:crosses val="autoZero"/>
        <c:auto val="1"/>
        <c:lblAlgn val="ctr"/>
        <c:lblOffset val="100"/>
        <c:noMultiLvlLbl val="0"/>
      </c:catAx>
      <c:valAx>
        <c:axId val="664875544"/>
        <c:scaling>
          <c:orientation val="minMax"/>
          <c:max val="1"/>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664885056"/>
        <c:crosses val="autoZero"/>
        <c:crossBetween val="between"/>
        <c:majorUnit val="0.2"/>
      </c:valAx>
      <c:spPr>
        <a:noFill/>
        <a:ln>
          <a:noFill/>
        </a:ln>
        <a:effectLst/>
      </c:spPr>
    </c:plotArea>
    <c:legend>
      <c:legendPos val="b"/>
      <c:layout>
        <c:manualLayout>
          <c:xMode val="edge"/>
          <c:yMode val="edge"/>
          <c:x val="0.12592270041088938"/>
          <c:y val="0.79137301154013329"/>
          <c:w val="0.77868890261028267"/>
          <c:h val="0.19827749117567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9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'Utregning av grafer'!$G$296</c:f>
              <c:strCache>
                <c:ptCount val="1"/>
                <c:pt idx="0">
                  <c:v>Prosent</c:v>
                </c:pt>
              </c:strCache>
            </c:strRef>
          </c:tx>
          <c:spPr>
            <a:solidFill>
              <a:srgbClr val="012A4C"/>
            </a:solidFill>
            <a:ln>
              <a:noFill/>
            </a:ln>
            <a:effectLst/>
          </c:spPr>
          <c:invertIfNegative val="0"/>
          <c:cat>
            <c:strRef>
              <c:f>'Utregning av grafer'!$F$297:$F$299</c:f>
              <c:strCache>
                <c:ptCount val="3"/>
                <c:pt idx="0">
                  <c:v>Statlig virksomhet</c:v>
                </c:pt>
                <c:pt idx="1">
                  <c:v>Kommune </c:v>
                </c:pt>
                <c:pt idx="2">
                  <c:v>Fylkeskommune</c:v>
                </c:pt>
              </c:strCache>
            </c:strRef>
          </c:cat>
          <c:val>
            <c:numRef>
              <c:f>'Utregning av grafer'!$G$297:$G$299</c:f>
              <c:numCache>
                <c:formatCode>0%</c:formatCode>
                <c:ptCount val="3"/>
                <c:pt idx="0">
                  <c:v>0.15384615384615385</c:v>
                </c:pt>
                <c:pt idx="1">
                  <c:v>0.375</c:v>
                </c:pt>
                <c:pt idx="2">
                  <c:v>0</c:v>
                </c:pt>
              </c:numCache>
            </c:numRef>
          </c:val>
          <c:extLst>
            <c:ext xmlns:c16="http://schemas.microsoft.com/office/drawing/2014/chart" uri="{C3380CC4-5D6E-409C-BE32-E72D297353CC}">
              <c16:uniqueId val="{00000000-4851-4880-ACCE-E19691051E5A}"/>
            </c:ext>
          </c:extLst>
        </c:ser>
        <c:dLbls>
          <c:showLegendKey val="0"/>
          <c:showVal val="0"/>
          <c:showCatName val="0"/>
          <c:showSerName val="0"/>
          <c:showPercent val="0"/>
          <c:showBubbleSize val="0"/>
        </c:dLbls>
        <c:gapWidth val="219"/>
        <c:axId val="344014608"/>
        <c:axId val="344014936"/>
      </c:barChart>
      <c:catAx>
        <c:axId val="344014608"/>
        <c:scaling>
          <c:orientation val="minMax"/>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344014936"/>
        <c:crosses val="autoZero"/>
        <c:auto val="1"/>
        <c:lblAlgn val="ctr"/>
        <c:lblOffset val="100"/>
        <c:noMultiLvlLbl val="0"/>
      </c:catAx>
      <c:valAx>
        <c:axId val="344014936"/>
        <c:scaling>
          <c:orientation val="minMax"/>
          <c:max val="1"/>
        </c:scaling>
        <c:delete val="0"/>
        <c:axPos val="b"/>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spPr>
          <a:noFill/>
          <a:ln>
            <a:noFill/>
          </a:ln>
          <a:effectLst/>
        </c:spPr>
        <c:txPr>
          <a:bodyPr rot="-60000000" spcFirstLastPara="1" vertOverflow="ellipsis" vert="horz" wrap="square" anchor="b"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344014608"/>
        <c:crosses val="autoZero"/>
        <c:crossBetween val="between"/>
        <c:majorUnit val="0.2"/>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9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spPr>
            <a:solidFill>
              <a:srgbClr val="012A4C"/>
            </a:solidFill>
            <a:ln>
              <a:noFill/>
            </a:ln>
            <a:effectLst/>
          </c:spPr>
          <c:invertIfNegative val="0"/>
          <c:cat>
            <c:strRef>
              <c:f>'Utregning av grafer'!$F$305:$F$307</c:f>
              <c:strCache>
                <c:ptCount val="3"/>
                <c:pt idx="0">
                  <c:v>Statlig virksomhet</c:v>
                </c:pt>
                <c:pt idx="1">
                  <c:v>Kommune </c:v>
                </c:pt>
                <c:pt idx="2">
                  <c:v>Fylkeskommune</c:v>
                </c:pt>
              </c:strCache>
            </c:strRef>
          </c:cat>
          <c:val>
            <c:numRef>
              <c:f>'Utregning av grafer'!$G$305:$G$307</c:f>
              <c:numCache>
                <c:formatCode>0%</c:formatCode>
                <c:ptCount val="3"/>
                <c:pt idx="0">
                  <c:v>0.57692307692307687</c:v>
                </c:pt>
                <c:pt idx="1">
                  <c:v>0.45833333333333331</c:v>
                </c:pt>
                <c:pt idx="2">
                  <c:v>0</c:v>
                </c:pt>
              </c:numCache>
            </c:numRef>
          </c:val>
          <c:extLst>
            <c:ext xmlns:c16="http://schemas.microsoft.com/office/drawing/2014/chart" uri="{C3380CC4-5D6E-409C-BE32-E72D297353CC}">
              <c16:uniqueId val="{00000000-6BA7-4B4D-85D1-BAB47E296EE5}"/>
            </c:ext>
          </c:extLst>
        </c:ser>
        <c:dLbls>
          <c:showLegendKey val="0"/>
          <c:showVal val="0"/>
          <c:showCatName val="0"/>
          <c:showSerName val="0"/>
          <c:showPercent val="0"/>
          <c:showBubbleSize val="0"/>
        </c:dLbls>
        <c:gapWidth val="219"/>
        <c:axId val="344014608"/>
        <c:axId val="344014936"/>
      </c:barChart>
      <c:catAx>
        <c:axId val="344014608"/>
        <c:scaling>
          <c:orientation val="minMax"/>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344014936"/>
        <c:crosses val="autoZero"/>
        <c:auto val="1"/>
        <c:lblAlgn val="ctr"/>
        <c:lblOffset val="100"/>
        <c:noMultiLvlLbl val="0"/>
      </c:catAx>
      <c:valAx>
        <c:axId val="344014936"/>
        <c:scaling>
          <c:orientation val="minMax"/>
          <c:max val="1"/>
        </c:scaling>
        <c:delete val="0"/>
        <c:axPos val="b"/>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spPr>
          <a:noFill/>
          <a:ln>
            <a:noFill/>
          </a:ln>
          <a:effectLst/>
        </c:spPr>
        <c:txPr>
          <a:bodyPr rot="-60000000" spcFirstLastPara="1" vertOverflow="ellipsis" vert="horz" wrap="square" anchor="b"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344014608"/>
        <c:crosses val="autoZero"/>
        <c:crossBetween val="between"/>
        <c:majorUnit val="0.2"/>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9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spPr>
            <a:solidFill>
              <a:srgbClr val="012A4C"/>
            </a:solidFill>
            <a:ln>
              <a:noFill/>
            </a:ln>
            <a:effectLst/>
          </c:spPr>
          <c:invertIfNegative val="0"/>
          <c:cat>
            <c:strRef>
              <c:f>'Utregning av grafer'!$F$313:$F$315</c:f>
              <c:strCache>
                <c:ptCount val="3"/>
                <c:pt idx="0">
                  <c:v>Statlig virksomhet</c:v>
                </c:pt>
                <c:pt idx="1">
                  <c:v>Kommune </c:v>
                </c:pt>
                <c:pt idx="2">
                  <c:v>Fylkeskommune</c:v>
                </c:pt>
              </c:strCache>
            </c:strRef>
          </c:cat>
          <c:val>
            <c:numRef>
              <c:f>'Utregning av grafer'!$G$313:$G$315</c:f>
              <c:numCache>
                <c:formatCode>0%</c:formatCode>
                <c:ptCount val="3"/>
                <c:pt idx="0">
                  <c:v>0.15384615384615385</c:v>
                </c:pt>
                <c:pt idx="1">
                  <c:v>0.41666666666666669</c:v>
                </c:pt>
                <c:pt idx="2">
                  <c:v>0.33333333333333331</c:v>
                </c:pt>
              </c:numCache>
            </c:numRef>
          </c:val>
          <c:extLst>
            <c:ext xmlns:c16="http://schemas.microsoft.com/office/drawing/2014/chart" uri="{C3380CC4-5D6E-409C-BE32-E72D297353CC}">
              <c16:uniqueId val="{00000000-BBA3-4B23-9365-BCFCE40EA080}"/>
            </c:ext>
          </c:extLst>
        </c:ser>
        <c:dLbls>
          <c:showLegendKey val="0"/>
          <c:showVal val="0"/>
          <c:showCatName val="0"/>
          <c:showSerName val="0"/>
          <c:showPercent val="0"/>
          <c:showBubbleSize val="0"/>
        </c:dLbls>
        <c:gapWidth val="219"/>
        <c:axId val="344014608"/>
        <c:axId val="344014936"/>
      </c:barChart>
      <c:catAx>
        <c:axId val="344014608"/>
        <c:scaling>
          <c:orientation val="minMax"/>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344014936"/>
        <c:crosses val="autoZero"/>
        <c:auto val="1"/>
        <c:lblAlgn val="ctr"/>
        <c:lblOffset val="100"/>
        <c:noMultiLvlLbl val="0"/>
      </c:catAx>
      <c:valAx>
        <c:axId val="344014936"/>
        <c:scaling>
          <c:orientation val="minMax"/>
          <c:max val="1"/>
        </c:scaling>
        <c:delete val="0"/>
        <c:axPos val="b"/>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spPr>
          <a:noFill/>
          <a:ln>
            <a:noFill/>
          </a:ln>
          <a:effectLst/>
        </c:spPr>
        <c:txPr>
          <a:bodyPr rot="-60000000" spcFirstLastPara="1" vertOverflow="ellipsis" vert="horz" wrap="square" anchor="b"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344014608"/>
        <c:crosses val="autoZero"/>
        <c:crossBetween val="between"/>
        <c:majorUnit val="0.2"/>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9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spPr>
            <a:solidFill>
              <a:srgbClr val="012A4C"/>
            </a:solidFill>
            <a:ln>
              <a:noFill/>
            </a:ln>
            <a:effectLst/>
          </c:spPr>
          <c:invertIfNegative val="0"/>
          <c:cat>
            <c:strRef>
              <c:f>'Utregning av grafer'!$F$321:$F$323</c:f>
              <c:strCache>
                <c:ptCount val="3"/>
                <c:pt idx="0">
                  <c:v>Statlig virksomhet</c:v>
                </c:pt>
                <c:pt idx="1">
                  <c:v>Kommune </c:v>
                </c:pt>
                <c:pt idx="2">
                  <c:v>Fylkeskommune</c:v>
                </c:pt>
              </c:strCache>
            </c:strRef>
          </c:cat>
          <c:val>
            <c:numRef>
              <c:f>'Utregning av grafer'!$G$321:$G$323</c:f>
              <c:numCache>
                <c:formatCode>0%</c:formatCode>
                <c:ptCount val="3"/>
                <c:pt idx="0">
                  <c:v>0.15384615384615385</c:v>
                </c:pt>
                <c:pt idx="1">
                  <c:v>0.375</c:v>
                </c:pt>
                <c:pt idx="2">
                  <c:v>0</c:v>
                </c:pt>
              </c:numCache>
            </c:numRef>
          </c:val>
          <c:extLst>
            <c:ext xmlns:c16="http://schemas.microsoft.com/office/drawing/2014/chart" uri="{C3380CC4-5D6E-409C-BE32-E72D297353CC}">
              <c16:uniqueId val="{00000000-3957-43A3-BC62-4755CEE8AA90}"/>
            </c:ext>
          </c:extLst>
        </c:ser>
        <c:dLbls>
          <c:showLegendKey val="0"/>
          <c:showVal val="0"/>
          <c:showCatName val="0"/>
          <c:showSerName val="0"/>
          <c:showPercent val="0"/>
          <c:showBubbleSize val="0"/>
        </c:dLbls>
        <c:gapWidth val="219"/>
        <c:axId val="344014608"/>
        <c:axId val="344014936"/>
      </c:barChart>
      <c:catAx>
        <c:axId val="344014608"/>
        <c:scaling>
          <c:orientation val="minMax"/>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344014936"/>
        <c:crosses val="autoZero"/>
        <c:auto val="1"/>
        <c:lblAlgn val="ctr"/>
        <c:lblOffset val="100"/>
        <c:noMultiLvlLbl val="0"/>
      </c:catAx>
      <c:valAx>
        <c:axId val="344014936"/>
        <c:scaling>
          <c:orientation val="minMax"/>
          <c:max val="1"/>
        </c:scaling>
        <c:delete val="0"/>
        <c:axPos val="b"/>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spPr>
          <a:noFill/>
          <a:ln>
            <a:noFill/>
          </a:ln>
          <a:effectLst/>
        </c:spPr>
        <c:txPr>
          <a:bodyPr rot="-60000000" spcFirstLastPara="1" vertOverflow="ellipsis" vert="horz" wrap="square" anchor="b"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344014608"/>
        <c:crosses val="autoZero"/>
        <c:crossBetween val="between"/>
        <c:majorUnit val="0.2"/>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10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0"/>
          <c:order val="0"/>
          <c:tx>
            <c:strRef>
              <c:f>'Utregning av grafer'!$H$328</c:f>
              <c:strCache>
                <c:ptCount val="1"/>
                <c:pt idx="0">
                  <c:v>Har stilt krav til menneskerettigheter</c:v>
                </c:pt>
              </c:strCache>
            </c:strRef>
          </c:tx>
          <c:spPr>
            <a:solidFill>
              <a:srgbClr val="012A4C"/>
            </a:solidFill>
            <a:ln>
              <a:noFill/>
            </a:ln>
            <a:effectLst/>
          </c:spPr>
          <c:invertIfNegative val="0"/>
          <c:cat>
            <c:strRef>
              <c:f>'Utregning av grafer'!$G$329:$G$331</c:f>
              <c:strCache>
                <c:ptCount val="3"/>
                <c:pt idx="0">
                  <c:v>Statlig virksomhet</c:v>
                </c:pt>
                <c:pt idx="1">
                  <c:v>Kommune </c:v>
                </c:pt>
                <c:pt idx="2">
                  <c:v>Fylkeskommune</c:v>
                </c:pt>
              </c:strCache>
            </c:strRef>
          </c:cat>
          <c:val>
            <c:numRef>
              <c:f>'Utregning av grafer'!$H$329:$H$331</c:f>
              <c:numCache>
                <c:formatCode>0%</c:formatCode>
                <c:ptCount val="3"/>
                <c:pt idx="0">
                  <c:v>0.61538461538461542</c:v>
                </c:pt>
                <c:pt idx="1">
                  <c:v>0.625</c:v>
                </c:pt>
                <c:pt idx="2">
                  <c:v>0.66666666666666663</c:v>
                </c:pt>
              </c:numCache>
            </c:numRef>
          </c:val>
          <c:extLst>
            <c:ext xmlns:c16="http://schemas.microsoft.com/office/drawing/2014/chart" uri="{C3380CC4-5D6E-409C-BE32-E72D297353CC}">
              <c16:uniqueId val="{00000000-A337-4C9A-A7F4-C62202EDECB4}"/>
            </c:ext>
          </c:extLst>
        </c:ser>
        <c:ser>
          <c:idx val="1"/>
          <c:order val="1"/>
          <c:tx>
            <c:strRef>
              <c:f>'Utregning av grafer'!$I$328</c:f>
              <c:strCache>
                <c:ptCount val="1"/>
                <c:pt idx="0">
                  <c:v>Har brukt Kriterieveiviserens krav til menneskerettigheter</c:v>
                </c:pt>
              </c:strCache>
            </c:strRef>
          </c:tx>
          <c:spPr>
            <a:solidFill>
              <a:srgbClr val="009FE3"/>
            </a:solidFill>
            <a:ln>
              <a:noFill/>
            </a:ln>
            <a:effectLst/>
          </c:spPr>
          <c:invertIfNegative val="0"/>
          <c:cat>
            <c:strRef>
              <c:f>'Utregning av grafer'!$G$329:$G$331</c:f>
              <c:strCache>
                <c:ptCount val="3"/>
                <c:pt idx="0">
                  <c:v>Statlig virksomhet</c:v>
                </c:pt>
                <c:pt idx="1">
                  <c:v>Kommune </c:v>
                </c:pt>
                <c:pt idx="2">
                  <c:v>Fylkeskommune</c:v>
                </c:pt>
              </c:strCache>
            </c:strRef>
          </c:cat>
          <c:val>
            <c:numRef>
              <c:f>'Utregning av grafer'!$I$329:$I$331</c:f>
              <c:numCache>
                <c:formatCode>0%</c:formatCode>
                <c:ptCount val="3"/>
                <c:pt idx="0">
                  <c:v>0.15384615384615385</c:v>
                </c:pt>
                <c:pt idx="1">
                  <c:v>8.3333333333333329E-2</c:v>
                </c:pt>
                <c:pt idx="2">
                  <c:v>0</c:v>
                </c:pt>
              </c:numCache>
            </c:numRef>
          </c:val>
          <c:extLst>
            <c:ext xmlns:c16="http://schemas.microsoft.com/office/drawing/2014/chart" uri="{C3380CC4-5D6E-409C-BE32-E72D297353CC}">
              <c16:uniqueId val="{00000001-A337-4C9A-A7F4-C62202EDECB4}"/>
            </c:ext>
          </c:extLst>
        </c:ser>
        <c:dLbls>
          <c:showLegendKey val="0"/>
          <c:showVal val="0"/>
          <c:showCatName val="0"/>
          <c:showSerName val="0"/>
          <c:showPercent val="0"/>
          <c:showBubbleSize val="0"/>
        </c:dLbls>
        <c:gapWidth val="150"/>
        <c:overlap val="100"/>
        <c:axId val="664885056"/>
        <c:axId val="664875544"/>
        <c:extLst/>
      </c:barChart>
      <c:catAx>
        <c:axId val="664885056"/>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664875544"/>
        <c:crosses val="autoZero"/>
        <c:auto val="1"/>
        <c:lblAlgn val="ctr"/>
        <c:lblOffset val="100"/>
        <c:noMultiLvlLbl val="0"/>
      </c:catAx>
      <c:valAx>
        <c:axId val="664875544"/>
        <c:scaling>
          <c:orientation val="minMax"/>
          <c:max val="1"/>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664885056"/>
        <c:crosses val="autoZero"/>
        <c:crossBetween val="between"/>
        <c:majorUnit val="0.2"/>
      </c:valAx>
      <c:spPr>
        <a:noFill/>
        <a:ln>
          <a:noFill/>
        </a:ln>
        <a:effectLst/>
      </c:spPr>
    </c:plotArea>
    <c:legend>
      <c:legendPos val="b"/>
      <c:layout>
        <c:manualLayout>
          <c:xMode val="edge"/>
          <c:yMode val="edge"/>
          <c:x val="0.12592270041088938"/>
          <c:y val="0.79137301154013329"/>
          <c:w val="0.77868890261028267"/>
          <c:h val="0.19827749117567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10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spPr>
            <a:solidFill>
              <a:srgbClr val="012A4C"/>
            </a:solidFill>
            <a:ln>
              <a:noFill/>
            </a:ln>
            <a:effectLst/>
          </c:spPr>
          <c:invertIfNegative val="0"/>
          <c:cat>
            <c:strRef>
              <c:f>'Utregning av grafer'!$F$338:$F$340</c:f>
              <c:strCache>
                <c:ptCount val="3"/>
                <c:pt idx="0">
                  <c:v>Statlig virksomhet</c:v>
                </c:pt>
                <c:pt idx="1">
                  <c:v>Kommune </c:v>
                </c:pt>
                <c:pt idx="2">
                  <c:v>Fylkeskommune</c:v>
                </c:pt>
              </c:strCache>
            </c:strRef>
          </c:cat>
          <c:val>
            <c:numRef>
              <c:f>'Utregning av grafer'!$G$338:$G$340</c:f>
              <c:numCache>
                <c:formatCode>0%</c:formatCode>
                <c:ptCount val="3"/>
                <c:pt idx="0">
                  <c:v>0.5</c:v>
                </c:pt>
                <c:pt idx="1">
                  <c:v>0.66666666666666663</c:v>
                </c:pt>
                <c:pt idx="2">
                  <c:v>0.66666666666666663</c:v>
                </c:pt>
              </c:numCache>
            </c:numRef>
          </c:val>
          <c:extLst>
            <c:ext xmlns:c16="http://schemas.microsoft.com/office/drawing/2014/chart" uri="{C3380CC4-5D6E-409C-BE32-E72D297353CC}">
              <c16:uniqueId val="{00000000-2D14-4B5D-A63F-DCE6CBE0B45F}"/>
            </c:ext>
          </c:extLst>
        </c:ser>
        <c:dLbls>
          <c:showLegendKey val="0"/>
          <c:showVal val="0"/>
          <c:showCatName val="0"/>
          <c:showSerName val="0"/>
          <c:showPercent val="0"/>
          <c:showBubbleSize val="0"/>
        </c:dLbls>
        <c:gapWidth val="219"/>
        <c:axId val="344014608"/>
        <c:axId val="344014936"/>
      </c:barChart>
      <c:catAx>
        <c:axId val="344014608"/>
        <c:scaling>
          <c:orientation val="minMax"/>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344014936"/>
        <c:crosses val="autoZero"/>
        <c:auto val="1"/>
        <c:lblAlgn val="ctr"/>
        <c:lblOffset val="100"/>
        <c:noMultiLvlLbl val="0"/>
      </c:catAx>
      <c:valAx>
        <c:axId val="344014936"/>
        <c:scaling>
          <c:orientation val="minMax"/>
          <c:max val="1"/>
        </c:scaling>
        <c:delete val="0"/>
        <c:axPos val="b"/>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spPr>
          <a:noFill/>
          <a:ln>
            <a:noFill/>
          </a:ln>
          <a:effectLst/>
        </c:spPr>
        <c:txPr>
          <a:bodyPr rot="-60000000" spcFirstLastPara="1" vertOverflow="ellipsis" vert="horz" wrap="square" anchor="b"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344014608"/>
        <c:crosses val="autoZero"/>
        <c:crossBetween val="between"/>
        <c:majorUnit val="0.2"/>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10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spPr>
            <a:solidFill>
              <a:srgbClr val="012A4C"/>
            </a:solidFill>
            <a:ln>
              <a:noFill/>
            </a:ln>
            <a:effectLst/>
          </c:spPr>
          <c:invertIfNegative val="0"/>
          <c:cat>
            <c:strRef>
              <c:f>'Utregning av grafer'!$F$346:$F$348</c:f>
              <c:strCache>
                <c:ptCount val="3"/>
                <c:pt idx="0">
                  <c:v>Statlig virksomhet</c:v>
                </c:pt>
                <c:pt idx="1">
                  <c:v>Kommune </c:v>
                </c:pt>
                <c:pt idx="2">
                  <c:v>Fylkeskommune</c:v>
                </c:pt>
              </c:strCache>
            </c:strRef>
          </c:cat>
          <c:val>
            <c:numRef>
              <c:f>'Utregning av grafer'!$G$346:$G$348</c:f>
              <c:numCache>
                <c:formatCode>0%</c:formatCode>
                <c:ptCount val="3"/>
                <c:pt idx="0">
                  <c:v>0.15384615384615385</c:v>
                </c:pt>
                <c:pt idx="1">
                  <c:v>0.125</c:v>
                </c:pt>
                <c:pt idx="2">
                  <c:v>0.33333333333333331</c:v>
                </c:pt>
              </c:numCache>
            </c:numRef>
          </c:val>
          <c:extLst>
            <c:ext xmlns:c16="http://schemas.microsoft.com/office/drawing/2014/chart" uri="{C3380CC4-5D6E-409C-BE32-E72D297353CC}">
              <c16:uniqueId val="{00000000-939B-4C65-95BC-1D14DD2ED25F}"/>
            </c:ext>
          </c:extLst>
        </c:ser>
        <c:dLbls>
          <c:showLegendKey val="0"/>
          <c:showVal val="0"/>
          <c:showCatName val="0"/>
          <c:showSerName val="0"/>
          <c:showPercent val="0"/>
          <c:showBubbleSize val="0"/>
        </c:dLbls>
        <c:gapWidth val="219"/>
        <c:axId val="344014608"/>
        <c:axId val="344014936"/>
      </c:barChart>
      <c:catAx>
        <c:axId val="344014608"/>
        <c:scaling>
          <c:orientation val="minMax"/>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344014936"/>
        <c:crosses val="autoZero"/>
        <c:auto val="1"/>
        <c:lblAlgn val="ctr"/>
        <c:lblOffset val="100"/>
        <c:noMultiLvlLbl val="0"/>
      </c:catAx>
      <c:valAx>
        <c:axId val="344014936"/>
        <c:scaling>
          <c:orientation val="minMax"/>
          <c:max val="1"/>
        </c:scaling>
        <c:delete val="0"/>
        <c:axPos val="b"/>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spPr>
          <a:noFill/>
          <a:ln>
            <a:noFill/>
          </a:ln>
          <a:effectLst/>
        </c:spPr>
        <c:txPr>
          <a:bodyPr rot="-60000000" spcFirstLastPara="1" vertOverflow="ellipsis" vert="horz" wrap="square" anchor="b"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344014608"/>
        <c:crosses val="autoZero"/>
        <c:crossBetween val="between"/>
        <c:majorUnit val="0.2"/>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10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spPr>
            <a:solidFill>
              <a:srgbClr val="012A4C"/>
            </a:solidFill>
            <a:ln>
              <a:noFill/>
            </a:ln>
            <a:effectLst/>
          </c:spPr>
          <c:invertIfNegative val="0"/>
          <c:cat>
            <c:strRef>
              <c:f>'Utregning av grafer'!$F$354:$F$356</c:f>
              <c:strCache>
                <c:ptCount val="3"/>
                <c:pt idx="0">
                  <c:v>Statlig virksomhet</c:v>
                </c:pt>
                <c:pt idx="1">
                  <c:v>Kommune </c:v>
                </c:pt>
                <c:pt idx="2">
                  <c:v>Fylkeskommune</c:v>
                </c:pt>
              </c:strCache>
            </c:strRef>
          </c:cat>
          <c:val>
            <c:numRef>
              <c:f>'Utregning av grafer'!$G$354:$G$356</c:f>
              <c:numCache>
                <c:formatCode>0%</c:formatCode>
                <c:ptCount val="3"/>
                <c:pt idx="0">
                  <c:v>0.19230769230769232</c:v>
                </c:pt>
                <c:pt idx="1">
                  <c:v>4.1666666666666664E-2</c:v>
                </c:pt>
                <c:pt idx="2">
                  <c:v>0</c:v>
                </c:pt>
              </c:numCache>
            </c:numRef>
          </c:val>
          <c:extLst>
            <c:ext xmlns:c16="http://schemas.microsoft.com/office/drawing/2014/chart" uri="{C3380CC4-5D6E-409C-BE32-E72D297353CC}">
              <c16:uniqueId val="{00000000-82CF-47D0-8A27-F5819B529186}"/>
            </c:ext>
          </c:extLst>
        </c:ser>
        <c:dLbls>
          <c:showLegendKey val="0"/>
          <c:showVal val="0"/>
          <c:showCatName val="0"/>
          <c:showSerName val="0"/>
          <c:showPercent val="0"/>
          <c:showBubbleSize val="0"/>
        </c:dLbls>
        <c:gapWidth val="219"/>
        <c:axId val="344014608"/>
        <c:axId val="344014936"/>
      </c:barChart>
      <c:catAx>
        <c:axId val="344014608"/>
        <c:scaling>
          <c:orientation val="minMax"/>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344014936"/>
        <c:crosses val="autoZero"/>
        <c:auto val="1"/>
        <c:lblAlgn val="ctr"/>
        <c:lblOffset val="100"/>
        <c:noMultiLvlLbl val="0"/>
      </c:catAx>
      <c:valAx>
        <c:axId val="344014936"/>
        <c:scaling>
          <c:orientation val="minMax"/>
          <c:max val="1"/>
        </c:scaling>
        <c:delete val="0"/>
        <c:axPos val="b"/>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spPr>
          <a:noFill/>
          <a:ln>
            <a:noFill/>
          </a:ln>
          <a:effectLst/>
        </c:spPr>
        <c:txPr>
          <a:bodyPr rot="-60000000" spcFirstLastPara="1" vertOverflow="ellipsis" vert="horz" wrap="square" anchor="b"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344014608"/>
        <c:crosses val="autoZero"/>
        <c:crossBetween val="between"/>
        <c:majorUnit val="0.2"/>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10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2"/>
          <c:order val="2"/>
          <c:tx>
            <c:strRef>
              <c:f>'Utregning av grafer'!$Z$5</c:f>
              <c:strCache>
                <c:ptCount val="1"/>
                <c:pt idx="0">
                  <c:v>Prosent</c:v>
                </c:pt>
              </c:strCache>
            </c:strRef>
          </c:tx>
          <c:spPr>
            <a:solidFill>
              <a:srgbClr val="012A4C"/>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'Utregning av grafer'!$AA$2:$AM$2</c:f>
              <c:strCache>
                <c:ptCount val="13"/>
                <c:pt idx="0">
                  <c:v>Bærekraftig trevirke i møbler</c:v>
                </c:pt>
                <c:pt idx="1">
                  <c:v>Møbler med høy kvalitet etter produktstandard</c:v>
                </c:pt>
                <c:pt idx="2">
                  <c:v>Robuste møbeltekstiler</c:v>
                </c:pt>
                <c:pt idx="3">
                  <c:v>Produktinformasjon om demontering, reparasjon og tilgang på reservedeler</c:v>
                </c:pt>
                <c:pt idx="4">
                  <c:v>Merking av plast</c:v>
                </c:pt>
                <c:pt idx="5">
                  <c:v>Avhending, videresalg, materialgjenvinnes/ resirkuleres</c:v>
                </c:pt>
                <c:pt idx="6">
                  <c:v>Enkel rengjøring av møbler</c:v>
                </c:pt>
                <c:pt idx="7">
                  <c:v>Miljøvennelig emballasje</c:v>
                </c:pt>
                <c:pt idx="8">
                  <c:v>Gjenvinnbar emballasje</c:v>
                </c:pt>
                <c:pt idx="9">
                  <c:v>Unngå skadelige kjemikalier </c:v>
                </c:pt>
                <c:pt idx="10">
                  <c:v>Brannsikkerhet og å unngå bruk av flammehemmere</c:v>
                </c:pt>
                <c:pt idx="11">
                  <c:v>Unngå bruk av PVC</c:v>
                </c:pt>
                <c:pt idx="12">
                  <c:v>Ivaretagelse av grunnleggende menneskerettigheter i leverandørkjeder</c:v>
                </c:pt>
              </c:strCache>
            </c:strRef>
          </c:cat>
          <c:val>
            <c:numRef>
              <c:f>'Utregning av grafer'!$AA$5:$AM$5</c:f>
              <c:numCache>
                <c:formatCode>0%</c:formatCode>
                <c:ptCount val="13"/>
                <c:pt idx="0">
                  <c:v>0.65217391304347827</c:v>
                </c:pt>
                <c:pt idx="1">
                  <c:v>0.32812599999999997</c:v>
                </c:pt>
                <c:pt idx="2">
                  <c:v>0.48148148148148145</c:v>
                </c:pt>
                <c:pt idx="3">
                  <c:v>0.48148148148148145</c:v>
                </c:pt>
                <c:pt idx="4">
                  <c:v>8.8888888888888892E-2</c:v>
                </c:pt>
                <c:pt idx="5">
                  <c:v>1.9607843137254902E-2</c:v>
                </c:pt>
                <c:pt idx="6">
                  <c:v>0.30303030303030304</c:v>
                </c:pt>
                <c:pt idx="7">
                  <c:v>8.8888888888888892E-2</c:v>
                </c:pt>
                <c:pt idx="8">
                  <c:v>0.65217391304347827</c:v>
                </c:pt>
                <c:pt idx="9">
                  <c:v>1.9607843137254902E-2</c:v>
                </c:pt>
                <c:pt idx="10">
                  <c:v>0.2361111111111111</c:v>
                </c:pt>
                <c:pt idx="11">
                  <c:v>6.3829797234042543E-2</c:v>
                </c:pt>
                <c:pt idx="12">
                  <c:v>0.82499999999999996</c:v>
                </c:pt>
              </c:numCache>
            </c:numRef>
          </c:val>
          <c:extLst>
            <c:ext xmlns:c16="http://schemas.microsoft.com/office/drawing/2014/chart" uri="{C3380CC4-5D6E-409C-BE32-E72D297353CC}">
              <c16:uniqueId val="{00000000-205B-4A2E-A7D1-AF1526381FDB}"/>
            </c:ext>
          </c:extLst>
        </c:ser>
        <c:dLbls>
          <c:showLegendKey val="0"/>
          <c:showVal val="0"/>
          <c:showCatName val="0"/>
          <c:showSerName val="0"/>
          <c:showPercent val="0"/>
          <c:showBubbleSize val="0"/>
        </c:dLbls>
        <c:gapWidth val="219"/>
        <c:axId val="344014608"/>
        <c:axId val="344014936"/>
        <c:extLst>
          <c:ext xmlns:c15="http://schemas.microsoft.com/office/drawing/2012/chart" uri="{02D57815-91ED-43cb-92C2-25804820EDAC}">
            <c15:filteredBarSeries>
              <c15:ser>
                <c:idx val="0"/>
                <c:order val="0"/>
                <c:tx>
                  <c:strRef>
                    <c:extLst>
                      <c:ext uri="{02D57815-91ED-43cb-92C2-25804820EDAC}">
                        <c15:formulaRef>
                          <c15:sqref>'Utregning av grafer'!$Z$3</c15:sqref>
                        </c15:formulaRef>
                      </c:ext>
                    </c:extLst>
                    <c:strCache>
                      <c:ptCount val="1"/>
                      <c:pt idx="0">
                        <c:v>Andelen anskaffelser som har brukt krav fra Kriterieveiviseren</c:v>
                      </c:pt>
                    </c:strCache>
                  </c:strRef>
                </c:tx>
                <c:spPr>
                  <a:solidFill>
                    <a:srgbClr val="012A4C"/>
                  </a:solidFill>
                  <a:ln>
                    <a:noFill/>
                  </a:ln>
                  <a:effectLst/>
                </c:spPr>
                <c:invertIfNegative val="0"/>
                <c:cat>
                  <c:strRef>
                    <c:extLst>
                      <c:ext uri="{02D57815-91ED-43cb-92C2-25804820EDAC}">
                        <c15:formulaRef>
                          <c15:sqref>'Utregning av grafer'!$AA$2:$AM$2</c15:sqref>
                        </c15:formulaRef>
                      </c:ext>
                    </c:extLst>
                    <c:strCache>
                      <c:ptCount val="13"/>
                      <c:pt idx="0">
                        <c:v>Bærekraftig trevirke i møbler</c:v>
                      </c:pt>
                      <c:pt idx="1">
                        <c:v>Møbler med høy kvalitet etter produktstandard</c:v>
                      </c:pt>
                      <c:pt idx="2">
                        <c:v>Robuste møbeltekstiler</c:v>
                      </c:pt>
                      <c:pt idx="3">
                        <c:v>Produktinformasjon om demontering, reparasjon og tilgang på reservedeler</c:v>
                      </c:pt>
                      <c:pt idx="4">
                        <c:v>Merking av plast</c:v>
                      </c:pt>
                      <c:pt idx="5">
                        <c:v>Avhending, videresalg, materialgjenvinnes/ resirkuleres</c:v>
                      </c:pt>
                      <c:pt idx="6">
                        <c:v>Enkel rengjøring av møbler</c:v>
                      </c:pt>
                      <c:pt idx="7">
                        <c:v>Miljøvennelig emballasje</c:v>
                      </c:pt>
                      <c:pt idx="8">
                        <c:v>Gjenvinnbar emballasje</c:v>
                      </c:pt>
                      <c:pt idx="9">
                        <c:v>Unngå skadelige kjemikalier </c:v>
                      </c:pt>
                      <c:pt idx="10">
                        <c:v>Brannsikkerhet og å unngå bruk av flammehemmere</c:v>
                      </c:pt>
                      <c:pt idx="11">
                        <c:v>Unngå bruk av PVC</c:v>
                      </c:pt>
                      <c:pt idx="12">
                        <c:v>Ivaretagelse av grunnleggende menneskerettigheter i leverandørkjeder</c:v>
                      </c:pt>
                    </c:strCache>
                  </c:strRef>
                </c:cat>
                <c:val>
                  <c:numRef>
                    <c:extLst>
                      <c:ext uri="{02D57815-91ED-43cb-92C2-25804820EDAC}">
                        <c15:formulaRef>
                          <c15:sqref>'Utregning av grafer'!$AA$3:$AM$3</c15:sqref>
                        </c15:formulaRef>
                      </c:ext>
                    </c:extLst>
                    <c:numCache>
                      <c:formatCode>General</c:formatCode>
                      <c:ptCount val="13"/>
                      <c:pt idx="0">
                        <c:v>30</c:v>
                      </c:pt>
                      <c:pt idx="1">
                        <c:v>21</c:v>
                      </c:pt>
                      <c:pt idx="2">
                        <c:v>26</c:v>
                      </c:pt>
                      <c:pt idx="3">
                        <c:v>26</c:v>
                      </c:pt>
                      <c:pt idx="4">
                        <c:v>8</c:v>
                      </c:pt>
                      <c:pt idx="5">
                        <c:v>2</c:v>
                      </c:pt>
                      <c:pt idx="6">
                        <c:v>20</c:v>
                      </c:pt>
                      <c:pt idx="7">
                        <c:v>8</c:v>
                      </c:pt>
                      <c:pt idx="8">
                        <c:v>30</c:v>
                      </c:pt>
                      <c:pt idx="9">
                        <c:v>2</c:v>
                      </c:pt>
                      <c:pt idx="10">
                        <c:v>17</c:v>
                      </c:pt>
                      <c:pt idx="11">
                        <c:v>6</c:v>
                      </c:pt>
                      <c:pt idx="12">
                        <c:v>33</c:v>
                      </c:pt>
                    </c:numCache>
                  </c:numRef>
                </c:val>
                <c:extLst>
                  <c:ext xmlns:c16="http://schemas.microsoft.com/office/drawing/2014/chart" uri="{C3380CC4-5D6E-409C-BE32-E72D297353CC}">
                    <c16:uniqueId val="{00000001-205B-4A2E-A7D1-AF1526381FDB}"/>
                  </c:ext>
                </c:extLst>
              </c15:ser>
            </c15:filteredBarSeries>
            <c15:filteredBarSeries>
              <c15:ser>
                <c:idx val="1"/>
                <c:order val="1"/>
                <c:tx>
                  <c:strRef>
                    <c:extLst xmlns:c15="http://schemas.microsoft.com/office/drawing/2012/chart">
                      <c:ext xmlns:c15="http://schemas.microsoft.com/office/drawing/2012/chart" uri="{02D57815-91ED-43cb-92C2-25804820EDAC}">
                        <c15:formulaRef>
                          <c15:sqref>'Utregning av grafer'!$Z$4</c15:sqref>
                        </c15:formulaRef>
                      </c:ext>
                    </c:extLst>
                    <c:strCache>
                      <c:ptCount val="1"/>
                      <c:pt idx="0">
                        <c:v>Ikke brukt</c:v>
                      </c:pt>
                    </c:strCache>
                  </c:strRef>
                </c:tx>
                <c:spPr>
                  <a:solidFill>
                    <a:schemeClr val="accent2"/>
                  </a:solidFill>
                  <a:ln>
                    <a:noFill/>
                  </a:ln>
                  <a:effectLst/>
                </c:spPr>
                <c:invertIfNegative val="0"/>
                <c:cat>
                  <c:strRef>
                    <c:extLst xmlns:c15="http://schemas.microsoft.com/office/drawing/2012/chart">
                      <c:ext xmlns:c15="http://schemas.microsoft.com/office/drawing/2012/chart" uri="{02D57815-91ED-43cb-92C2-25804820EDAC}">
                        <c15:formulaRef>
                          <c15:sqref>'Utregning av grafer'!$AA$2:$AM$2</c15:sqref>
                        </c15:formulaRef>
                      </c:ext>
                    </c:extLst>
                    <c:strCache>
                      <c:ptCount val="13"/>
                      <c:pt idx="0">
                        <c:v>Bærekraftig trevirke i møbler</c:v>
                      </c:pt>
                      <c:pt idx="1">
                        <c:v>Møbler med høy kvalitet etter produktstandard</c:v>
                      </c:pt>
                      <c:pt idx="2">
                        <c:v>Robuste møbeltekstiler</c:v>
                      </c:pt>
                      <c:pt idx="3">
                        <c:v>Produktinformasjon om demontering, reparasjon og tilgang på reservedeler</c:v>
                      </c:pt>
                      <c:pt idx="4">
                        <c:v>Merking av plast</c:v>
                      </c:pt>
                      <c:pt idx="5">
                        <c:v>Avhending, videresalg, materialgjenvinnes/ resirkuleres</c:v>
                      </c:pt>
                      <c:pt idx="6">
                        <c:v>Enkel rengjøring av møbler</c:v>
                      </c:pt>
                      <c:pt idx="7">
                        <c:v>Miljøvennelig emballasje</c:v>
                      </c:pt>
                      <c:pt idx="8">
                        <c:v>Gjenvinnbar emballasje</c:v>
                      </c:pt>
                      <c:pt idx="9">
                        <c:v>Unngå skadelige kjemikalier </c:v>
                      </c:pt>
                      <c:pt idx="10">
                        <c:v>Brannsikkerhet og å unngå bruk av flammehemmere</c:v>
                      </c:pt>
                      <c:pt idx="11">
                        <c:v>Unngå bruk av PVC</c:v>
                      </c:pt>
                      <c:pt idx="12">
                        <c:v>Ivaretagelse av grunnleggende menneskerettigheter i leverandørkjeder</c:v>
                      </c:pt>
                    </c:strCache>
                  </c:strRef>
                </c:cat>
                <c:val>
                  <c:numRef>
                    <c:extLst xmlns:c15="http://schemas.microsoft.com/office/drawing/2012/chart">
                      <c:ext xmlns:c15="http://schemas.microsoft.com/office/drawing/2012/chart" uri="{02D57815-91ED-43cb-92C2-25804820EDAC}">
                        <c15:formulaRef>
                          <c15:sqref>'Utregning av grafer'!$AA$4:$AM$4</c15:sqref>
                        </c15:formulaRef>
                      </c:ext>
                    </c:extLst>
                    <c:numCache>
                      <c:formatCode>General</c:formatCode>
                      <c:ptCount val="13"/>
                      <c:pt idx="0">
                        <c:v>23</c:v>
                      </c:pt>
                      <c:pt idx="1">
                        <c:v>32</c:v>
                      </c:pt>
                      <c:pt idx="2">
                        <c:v>27</c:v>
                      </c:pt>
                      <c:pt idx="3">
                        <c:v>27</c:v>
                      </c:pt>
                      <c:pt idx="4">
                        <c:v>45</c:v>
                      </c:pt>
                      <c:pt idx="5">
                        <c:v>51</c:v>
                      </c:pt>
                      <c:pt idx="6">
                        <c:v>33</c:v>
                      </c:pt>
                      <c:pt idx="7">
                        <c:v>45</c:v>
                      </c:pt>
                      <c:pt idx="8">
                        <c:v>23</c:v>
                      </c:pt>
                      <c:pt idx="9">
                        <c:v>51</c:v>
                      </c:pt>
                      <c:pt idx="10">
                        <c:v>36</c:v>
                      </c:pt>
                      <c:pt idx="11">
                        <c:v>47</c:v>
                      </c:pt>
                      <c:pt idx="12">
                        <c:v>20</c:v>
                      </c:pt>
                    </c:numCache>
                  </c:numRef>
                </c:val>
                <c:extLst xmlns:c15="http://schemas.microsoft.com/office/drawing/2012/chart">
                  <c:ext xmlns:c16="http://schemas.microsoft.com/office/drawing/2014/chart" uri="{C3380CC4-5D6E-409C-BE32-E72D297353CC}">
                    <c16:uniqueId val="{00000002-205B-4A2E-A7D1-AF1526381FDB}"/>
                  </c:ext>
                </c:extLst>
              </c15:ser>
            </c15:filteredBarSeries>
          </c:ext>
        </c:extLst>
      </c:barChart>
      <c:catAx>
        <c:axId val="344014608"/>
        <c:scaling>
          <c:orientation val="minMax"/>
        </c:scaling>
        <c:delete val="0"/>
        <c:axPos val="l"/>
        <c:numFmt formatCode="General" sourceLinked="1"/>
        <c:majorTickMark val="out"/>
        <c:minorTickMark val="none"/>
        <c:tickLblPos val="nextTo"/>
        <c:spPr>
          <a:noFill/>
          <a:ln w="9525" cap="flat" cmpd="thickThin" algn="ctr">
            <a:solidFill>
              <a:schemeClr val="tx1">
                <a:lumMod val="15000"/>
                <a:lumOff val="85000"/>
              </a:schemeClr>
            </a:solidFill>
            <a:round/>
          </a:ln>
          <a:effectLst/>
        </c:spPr>
        <c:txPr>
          <a:bodyPr rot="-60000000" spcFirstLastPara="1" vertOverflow="ellipsis" vert="horz" wrap="square" anchor="b" anchorCtr="0"/>
          <a:lstStyle/>
          <a:p>
            <a:pPr>
              <a:defRPr sz="900" b="0" i="0" u="none" strike="noStrike" kern="1200" baseline="0">
                <a:solidFill>
                  <a:srgbClr val="012A4C"/>
                </a:solidFill>
                <a:latin typeface="Source Sans Pro" panose="020B0503030403020204" pitchFamily="34" charset="0"/>
                <a:ea typeface="Source Sans Pro" panose="020B0503030403020204" pitchFamily="34" charset="0"/>
                <a:cs typeface="+mn-cs"/>
              </a:defRPr>
            </a:pPr>
            <a:endParaRPr lang="nb-NO"/>
          </a:p>
        </c:txPr>
        <c:crossAx val="344014936"/>
        <c:crosses val="autoZero"/>
        <c:auto val="1"/>
        <c:lblAlgn val="ctr"/>
        <c:lblOffset val="100"/>
        <c:noMultiLvlLbl val="0"/>
      </c:catAx>
      <c:valAx>
        <c:axId val="344014936"/>
        <c:scaling>
          <c:orientation val="minMax"/>
          <c:max val="1"/>
        </c:scaling>
        <c:delete val="0"/>
        <c:axPos val="b"/>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spPr>
          <a:noFill/>
          <a:ln>
            <a:noFill/>
          </a:ln>
          <a:effectLst/>
        </c:spPr>
        <c:txPr>
          <a:bodyPr rot="-60000000" spcFirstLastPara="1" vertOverflow="ellipsis" vert="horz" wrap="square" anchor="b" anchorCtr="1"/>
          <a:lstStyle/>
          <a:p>
            <a:pPr>
              <a:defRPr sz="900" b="0" i="0" u="none" strike="noStrike" kern="1200" baseline="0">
                <a:solidFill>
                  <a:schemeClr val="tx1">
                    <a:lumMod val="65000"/>
                    <a:lumOff val="35000"/>
                  </a:schemeClr>
                </a:solidFill>
                <a:latin typeface="Source Sans Pro" panose="020B0503030403020204" pitchFamily="34" charset="0"/>
                <a:ea typeface="Source Sans Pro" panose="020B0503030403020204" pitchFamily="34" charset="0"/>
                <a:cs typeface="+mn-cs"/>
              </a:defRPr>
            </a:pPr>
            <a:endParaRPr lang="nb-NO"/>
          </a:p>
        </c:txPr>
        <c:crossAx val="344014608"/>
        <c:crosses val="autoZero"/>
        <c:crossBetween val="between"/>
        <c:majorUnit val="0.2"/>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10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spPr>
            <a:solidFill>
              <a:srgbClr val="012A4C"/>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012A4C"/>
                    </a:solidFill>
                    <a:latin typeface="Source Serif Pro" panose="02040603050405020204" pitchFamily="18" charset="0"/>
                    <a:ea typeface="Source Serif Pro" panose="02040603050405020204" pitchFamily="18" charset="0"/>
                    <a:cs typeface="+mn-cs"/>
                  </a:defRPr>
                </a:pPr>
                <a:endParaRPr lang="nb-N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'Utregning av grafer'!$AO$5:$BA$5</c:f>
              <c:strCache>
                <c:ptCount val="13"/>
                <c:pt idx="0">
                  <c:v>Avhending, videresalg, materialgjenvinnes/ resirkuleres</c:v>
                </c:pt>
                <c:pt idx="1">
                  <c:v>Merking av plast</c:v>
                </c:pt>
                <c:pt idx="2">
                  <c:v>Unngå skadelige kjemikalier </c:v>
                </c:pt>
                <c:pt idx="3">
                  <c:v>Miljøvennelig emballasje</c:v>
                </c:pt>
                <c:pt idx="4">
                  <c:v>Unngå bruk av PVC</c:v>
                </c:pt>
                <c:pt idx="5">
                  <c:v>Enkel rengjøring av møbler</c:v>
                </c:pt>
                <c:pt idx="6">
                  <c:v>Brannsikkerhet og å unngå bruk av flammehemmere</c:v>
                </c:pt>
                <c:pt idx="7">
                  <c:v>Møbler med høy kvalitet etter produktstandard</c:v>
                </c:pt>
                <c:pt idx="8">
                  <c:v>Bærekraftig trevirke i møbler</c:v>
                </c:pt>
                <c:pt idx="9">
                  <c:v>Produktinformasjon om demontering, reparasjon og tilgang på reservedeler</c:v>
                </c:pt>
                <c:pt idx="10">
                  <c:v>Ivaretagelse av grunnleggende menneskerettigheter i leverandørkjeder</c:v>
                </c:pt>
                <c:pt idx="11">
                  <c:v>Robuste møbeltekstiler</c:v>
                </c:pt>
                <c:pt idx="12">
                  <c:v>Gjenvinnbar emballasje</c:v>
                </c:pt>
              </c:strCache>
            </c:strRef>
          </c:cat>
          <c:val>
            <c:numRef>
              <c:f>'Utregning av grafer'!$AO$6:$BA$6</c:f>
              <c:numCache>
                <c:formatCode>0%</c:formatCode>
                <c:ptCount val="13"/>
                <c:pt idx="0">
                  <c:v>5.6603773584905662E-2</c:v>
                </c:pt>
                <c:pt idx="1">
                  <c:v>0.18867924528301888</c:v>
                </c:pt>
                <c:pt idx="2">
                  <c:v>0.28301886792452829</c:v>
                </c:pt>
                <c:pt idx="3">
                  <c:v>0.35849056603773582</c:v>
                </c:pt>
                <c:pt idx="4">
                  <c:v>0.3584915660377358</c:v>
                </c:pt>
                <c:pt idx="5">
                  <c:v>0.50943396226415094</c:v>
                </c:pt>
                <c:pt idx="6">
                  <c:v>0.60377358490566035</c:v>
                </c:pt>
                <c:pt idx="7">
                  <c:v>0.62264150943396224</c:v>
                </c:pt>
                <c:pt idx="8">
                  <c:v>0.64150943396226412</c:v>
                </c:pt>
                <c:pt idx="9">
                  <c:v>0.71698113207547165</c:v>
                </c:pt>
                <c:pt idx="10">
                  <c:v>0.73584905660377353</c:v>
                </c:pt>
                <c:pt idx="11">
                  <c:v>0.81132075471698117</c:v>
                </c:pt>
                <c:pt idx="12">
                  <c:v>0.83018867924528306</c:v>
                </c:pt>
              </c:numCache>
            </c:numRef>
          </c:val>
          <c:extLst xmlns:c15="http://schemas.microsoft.com/office/drawing/2012/chart">
            <c:ext xmlns:c16="http://schemas.microsoft.com/office/drawing/2014/chart" uri="{C3380CC4-5D6E-409C-BE32-E72D297353CC}">
              <c16:uniqueId val="{00000000-38DF-4423-BC51-46435DD94951}"/>
            </c:ext>
          </c:extLst>
        </c:ser>
        <c:dLbls>
          <c:showLegendKey val="0"/>
          <c:showVal val="0"/>
          <c:showCatName val="0"/>
          <c:showSerName val="0"/>
          <c:showPercent val="0"/>
          <c:showBubbleSize val="0"/>
        </c:dLbls>
        <c:gapWidth val="219"/>
        <c:axId val="344014608"/>
        <c:axId val="344014936"/>
        <c:extLst/>
      </c:barChart>
      <c:catAx>
        <c:axId val="344014608"/>
        <c:scaling>
          <c:orientation val="minMax"/>
        </c:scaling>
        <c:delete val="0"/>
        <c:axPos val="l"/>
        <c:numFmt formatCode="General" sourceLinked="1"/>
        <c:majorTickMark val="out"/>
        <c:minorTickMark val="none"/>
        <c:tickLblPos val="nextTo"/>
        <c:spPr>
          <a:noFill/>
          <a:ln w="9525" cap="flat" cmpd="thickThin" algn="ctr">
            <a:solidFill>
              <a:schemeClr val="tx1">
                <a:lumMod val="15000"/>
                <a:lumOff val="85000"/>
              </a:schemeClr>
            </a:solidFill>
            <a:round/>
          </a:ln>
          <a:effectLst/>
        </c:spPr>
        <c:txPr>
          <a:bodyPr rot="-60000000" spcFirstLastPara="1" vertOverflow="ellipsis" vert="horz" wrap="square" anchor="b" anchorCtr="0"/>
          <a:lstStyle/>
          <a:p>
            <a:pPr>
              <a:defRPr sz="900" b="0" i="0" u="none" strike="noStrike" kern="1200" baseline="0">
                <a:solidFill>
                  <a:srgbClr val="012A4C"/>
                </a:solidFill>
                <a:latin typeface="Source Sans Pro" panose="020B0503030403020204" pitchFamily="34" charset="0"/>
                <a:ea typeface="Source Sans Pro" panose="020B0503030403020204" pitchFamily="34" charset="0"/>
                <a:cs typeface="+mn-cs"/>
              </a:defRPr>
            </a:pPr>
            <a:endParaRPr lang="nb-NO"/>
          </a:p>
        </c:txPr>
        <c:crossAx val="344014936"/>
        <c:crosses val="autoZero"/>
        <c:auto val="1"/>
        <c:lblAlgn val="ctr"/>
        <c:lblOffset val="100"/>
        <c:noMultiLvlLbl val="0"/>
      </c:catAx>
      <c:valAx>
        <c:axId val="344014936"/>
        <c:scaling>
          <c:orientation val="minMax"/>
          <c:max val="1"/>
        </c:scaling>
        <c:delete val="1"/>
        <c:axPos val="b"/>
        <c:majorGridlines>
          <c:spPr>
            <a:ln w="9525" cap="flat" cmpd="sng" algn="ctr">
              <a:solidFill>
                <a:schemeClr val="tx1">
                  <a:lumMod val="15000"/>
                  <a:lumOff val="85000"/>
                </a:schemeClr>
              </a:solidFill>
              <a:prstDash val="sysDot"/>
              <a:round/>
            </a:ln>
            <a:effectLst/>
          </c:spPr>
        </c:majorGridlines>
        <c:numFmt formatCode="0%" sourceLinked="1"/>
        <c:majorTickMark val="out"/>
        <c:minorTickMark val="none"/>
        <c:tickLblPos val="nextTo"/>
        <c:crossAx val="344014608"/>
        <c:crosses val="autoZero"/>
        <c:crossBetween val="between"/>
        <c:majorUnit val="0.2"/>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10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012A4C"/>
            </a:solidFill>
          </c:spPr>
          <c:dPt>
            <c:idx val="0"/>
            <c:bubble3D val="0"/>
            <c:spPr>
              <a:solidFill>
                <a:srgbClr val="012A4C"/>
              </a:solidFill>
              <a:ln w="19050">
                <a:solidFill>
                  <a:schemeClr val="lt1"/>
                </a:solidFill>
              </a:ln>
              <a:effectLst/>
            </c:spPr>
            <c:extLst>
              <c:ext xmlns:c16="http://schemas.microsoft.com/office/drawing/2014/chart" uri="{C3380CC4-5D6E-409C-BE32-E72D297353CC}">
                <c16:uniqueId val="{00000001-8162-4FF9-B60C-A7A446C35D2C}"/>
              </c:ext>
            </c:extLst>
          </c:dPt>
          <c:dPt>
            <c:idx val="1"/>
            <c:bubble3D val="0"/>
            <c:spPr>
              <a:solidFill>
                <a:srgbClr val="009FE3"/>
              </a:solidFill>
              <a:ln w="19050">
                <a:solidFill>
                  <a:schemeClr val="lt1"/>
                </a:solidFill>
              </a:ln>
              <a:effectLst/>
            </c:spPr>
            <c:extLst>
              <c:ext xmlns:c16="http://schemas.microsoft.com/office/drawing/2014/chart" uri="{C3380CC4-5D6E-409C-BE32-E72D297353CC}">
                <c16:uniqueId val="{00000003-8162-4FF9-B60C-A7A446C35D2C}"/>
              </c:ext>
            </c:extLst>
          </c:dPt>
          <c:dPt>
            <c:idx val="2"/>
            <c:bubble3D val="0"/>
            <c:spPr>
              <a:solidFill>
                <a:srgbClr val="00AB84"/>
              </a:solidFill>
              <a:ln w="19050">
                <a:solidFill>
                  <a:schemeClr val="lt1"/>
                </a:solidFill>
              </a:ln>
              <a:effectLst/>
            </c:spPr>
            <c:extLst>
              <c:ext xmlns:c16="http://schemas.microsoft.com/office/drawing/2014/chart" uri="{C3380CC4-5D6E-409C-BE32-E72D297353CC}">
                <c16:uniqueId val="{00000005-8162-4FF9-B60C-A7A446C35D2C}"/>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lumMod val="95000"/>
                      </a:schemeClr>
                    </a:solidFill>
                    <a:latin typeface="Source Serif Pro" panose="02040603050405020204" pitchFamily="18" charset="0"/>
                    <a:ea typeface="Source Serif Pro" panose="02040603050405020204" pitchFamily="18" charset="0"/>
                    <a:cs typeface="+mn-cs"/>
                  </a:defRPr>
                </a:pPr>
                <a:endParaRPr lang="nb-NO"/>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'Utregning av grafer'!$A$361:$A$363</c:f>
              <c:strCache>
                <c:ptCount val="3"/>
                <c:pt idx="0">
                  <c:v>Vekting av miljø</c:v>
                </c:pt>
                <c:pt idx="1">
                  <c:v>Vekting av pris</c:v>
                </c:pt>
                <c:pt idx="2">
                  <c:v>Vekting av kvalitet og service</c:v>
                </c:pt>
              </c:strCache>
            </c:strRef>
          </c:cat>
          <c:val>
            <c:numRef>
              <c:f>'Utregning av grafer'!$B$361:$B$363</c:f>
              <c:numCache>
                <c:formatCode>0%</c:formatCode>
                <c:ptCount val="3"/>
                <c:pt idx="0">
                  <c:v>8.6792452830188688E-2</c:v>
                </c:pt>
                <c:pt idx="1">
                  <c:v>0.51037735849056587</c:v>
                </c:pt>
                <c:pt idx="2">
                  <c:v>0.40283018867924519</c:v>
                </c:pt>
              </c:numCache>
            </c:numRef>
          </c:val>
          <c:extLst>
            <c:ext xmlns:c16="http://schemas.microsoft.com/office/drawing/2014/chart" uri="{C3380CC4-5D6E-409C-BE32-E72D297353CC}">
              <c16:uniqueId val="{00000006-8162-4FF9-B60C-A7A446C35D2C}"/>
            </c:ext>
          </c:extLst>
        </c:ser>
        <c:dLbls>
          <c:showLegendKey val="0"/>
          <c:showVal val="1"/>
          <c:showCatName val="0"/>
          <c:showSerName val="0"/>
          <c:showPercent val="0"/>
          <c:showBubbleSize val="0"/>
          <c:showLeaderLines val="1"/>
        </c:dLbls>
        <c:firstSliceAng val="0"/>
        <c:holeSize val="50"/>
      </c:doughnut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b-NO"/>
        </a:p>
      </c:txPr>
    </c:legend>
    <c:plotVisOnly val="1"/>
    <c:dispBlanksAs val="gap"/>
    <c:showDLblsOverMax val="0"/>
  </c:chart>
  <c:spPr>
    <a:solidFill>
      <a:srgbClr val="EFEFEF"/>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6" Type="http://schemas.openxmlformats.org/officeDocument/2006/relationships/chart" Target="../charts/chart14.xml"/><Relationship Id="rId117" Type="http://schemas.openxmlformats.org/officeDocument/2006/relationships/chart" Target="../charts/chart105.xml"/><Relationship Id="rId21" Type="http://schemas.openxmlformats.org/officeDocument/2006/relationships/image" Target="../media/image8.png"/><Relationship Id="rId42" Type="http://schemas.openxmlformats.org/officeDocument/2006/relationships/chart" Target="../charts/chart30.xml"/><Relationship Id="rId47" Type="http://schemas.openxmlformats.org/officeDocument/2006/relationships/chart" Target="../charts/chart35.xml"/><Relationship Id="rId63" Type="http://schemas.openxmlformats.org/officeDocument/2006/relationships/chart" Target="../charts/chart51.xml"/><Relationship Id="rId68" Type="http://schemas.openxmlformats.org/officeDocument/2006/relationships/chart" Target="../charts/chart56.xml"/><Relationship Id="rId84" Type="http://schemas.openxmlformats.org/officeDocument/2006/relationships/chart" Target="../charts/chart72.xml"/><Relationship Id="rId89" Type="http://schemas.openxmlformats.org/officeDocument/2006/relationships/chart" Target="../charts/chart77.xml"/><Relationship Id="rId112" Type="http://schemas.openxmlformats.org/officeDocument/2006/relationships/chart" Target="../charts/chart100.xml"/><Relationship Id="rId16" Type="http://schemas.openxmlformats.org/officeDocument/2006/relationships/image" Target="../media/image3.png"/><Relationship Id="rId107" Type="http://schemas.openxmlformats.org/officeDocument/2006/relationships/chart" Target="../charts/chart95.xml"/><Relationship Id="rId11" Type="http://schemas.openxmlformats.org/officeDocument/2006/relationships/chart" Target="../charts/chart11.xml"/><Relationship Id="rId24" Type="http://schemas.openxmlformats.org/officeDocument/2006/relationships/image" Target="../media/image11.png"/><Relationship Id="rId32" Type="http://schemas.openxmlformats.org/officeDocument/2006/relationships/chart" Target="../charts/chart20.xml"/><Relationship Id="rId37" Type="http://schemas.openxmlformats.org/officeDocument/2006/relationships/chart" Target="../charts/chart25.xml"/><Relationship Id="rId40" Type="http://schemas.openxmlformats.org/officeDocument/2006/relationships/chart" Target="../charts/chart28.xml"/><Relationship Id="rId45" Type="http://schemas.openxmlformats.org/officeDocument/2006/relationships/chart" Target="../charts/chart33.xml"/><Relationship Id="rId53" Type="http://schemas.openxmlformats.org/officeDocument/2006/relationships/chart" Target="../charts/chart41.xml"/><Relationship Id="rId58" Type="http://schemas.openxmlformats.org/officeDocument/2006/relationships/chart" Target="../charts/chart46.xml"/><Relationship Id="rId66" Type="http://schemas.openxmlformats.org/officeDocument/2006/relationships/chart" Target="../charts/chart54.xml"/><Relationship Id="rId74" Type="http://schemas.openxmlformats.org/officeDocument/2006/relationships/chart" Target="../charts/chart62.xml"/><Relationship Id="rId79" Type="http://schemas.openxmlformats.org/officeDocument/2006/relationships/chart" Target="../charts/chart67.xml"/><Relationship Id="rId87" Type="http://schemas.openxmlformats.org/officeDocument/2006/relationships/chart" Target="../charts/chart75.xml"/><Relationship Id="rId102" Type="http://schemas.openxmlformats.org/officeDocument/2006/relationships/chart" Target="../charts/chart90.xml"/><Relationship Id="rId110" Type="http://schemas.openxmlformats.org/officeDocument/2006/relationships/chart" Target="../charts/chart98.xml"/><Relationship Id="rId115" Type="http://schemas.openxmlformats.org/officeDocument/2006/relationships/chart" Target="../charts/chart103.xml"/><Relationship Id="rId5" Type="http://schemas.openxmlformats.org/officeDocument/2006/relationships/chart" Target="../charts/chart5.xml"/><Relationship Id="rId61" Type="http://schemas.openxmlformats.org/officeDocument/2006/relationships/chart" Target="../charts/chart49.xml"/><Relationship Id="rId82" Type="http://schemas.openxmlformats.org/officeDocument/2006/relationships/chart" Target="../charts/chart70.xml"/><Relationship Id="rId90" Type="http://schemas.openxmlformats.org/officeDocument/2006/relationships/chart" Target="../charts/chart78.xml"/><Relationship Id="rId95" Type="http://schemas.openxmlformats.org/officeDocument/2006/relationships/chart" Target="../charts/chart83.xml"/><Relationship Id="rId19" Type="http://schemas.openxmlformats.org/officeDocument/2006/relationships/image" Target="../media/image6.png"/><Relationship Id="rId14" Type="http://schemas.openxmlformats.org/officeDocument/2006/relationships/image" Target="../media/image1.png"/><Relationship Id="rId22" Type="http://schemas.openxmlformats.org/officeDocument/2006/relationships/image" Target="../media/image9.png"/><Relationship Id="rId27" Type="http://schemas.openxmlformats.org/officeDocument/2006/relationships/chart" Target="../charts/chart15.xml"/><Relationship Id="rId30" Type="http://schemas.openxmlformats.org/officeDocument/2006/relationships/chart" Target="../charts/chart18.xml"/><Relationship Id="rId35" Type="http://schemas.openxmlformats.org/officeDocument/2006/relationships/chart" Target="../charts/chart23.xml"/><Relationship Id="rId43" Type="http://schemas.openxmlformats.org/officeDocument/2006/relationships/chart" Target="../charts/chart31.xml"/><Relationship Id="rId48" Type="http://schemas.openxmlformats.org/officeDocument/2006/relationships/chart" Target="../charts/chart36.xml"/><Relationship Id="rId56" Type="http://schemas.openxmlformats.org/officeDocument/2006/relationships/chart" Target="../charts/chart44.xml"/><Relationship Id="rId64" Type="http://schemas.openxmlformats.org/officeDocument/2006/relationships/chart" Target="../charts/chart52.xml"/><Relationship Id="rId69" Type="http://schemas.openxmlformats.org/officeDocument/2006/relationships/chart" Target="../charts/chart57.xml"/><Relationship Id="rId77" Type="http://schemas.openxmlformats.org/officeDocument/2006/relationships/chart" Target="../charts/chart65.xml"/><Relationship Id="rId100" Type="http://schemas.openxmlformats.org/officeDocument/2006/relationships/chart" Target="../charts/chart88.xml"/><Relationship Id="rId105" Type="http://schemas.openxmlformats.org/officeDocument/2006/relationships/chart" Target="../charts/chart93.xml"/><Relationship Id="rId113" Type="http://schemas.openxmlformats.org/officeDocument/2006/relationships/chart" Target="../charts/chart101.xml"/><Relationship Id="rId118" Type="http://schemas.openxmlformats.org/officeDocument/2006/relationships/chart" Target="../charts/chart106.xml"/><Relationship Id="rId8" Type="http://schemas.openxmlformats.org/officeDocument/2006/relationships/chart" Target="../charts/chart8.xml"/><Relationship Id="rId51" Type="http://schemas.openxmlformats.org/officeDocument/2006/relationships/chart" Target="../charts/chart39.xml"/><Relationship Id="rId72" Type="http://schemas.openxmlformats.org/officeDocument/2006/relationships/chart" Target="../charts/chart60.xml"/><Relationship Id="rId80" Type="http://schemas.openxmlformats.org/officeDocument/2006/relationships/chart" Target="../charts/chart68.xml"/><Relationship Id="rId85" Type="http://schemas.openxmlformats.org/officeDocument/2006/relationships/chart" Target="../charts/chart73.xml"/><Relationship Id="rId93" Type="http://schemas.openxmlformats.org/officeDocument/2006/relationships/chart" Target="../charts/chart81.xml"/><Relationship Id="rId98" Type="http://schemas.openxmlformats.org/officeDocument/2006/relationships/chart" Target="../charts/chart86.xml"/><Relationship Id="rId3" Type="http://schemas.openxmlformats.org/officeDocument/2006/relationships/chart" Target="../charts/chart3.xml"/><Relationship Id="rId12" Type="http://schemas.openxmlformats.org/officeDocument/2006/relationships/chart" Target="../charts/chart12.xml"/><Relationship Id="rId17" Type="http://schemas.openxmlformats.org/officeDocument/2006/relationships/image" Target="../media/image4.png"/><Relationship Id="rId25" Type="http://schemas.openxmlformats.org/officeDocument/2006/relationships/image" Target="../media/image12.png"/><Relationship Id="rId33" Type="http://schemas.openxmlformats.org/officeDocument/2006/relationships/chart" Target="../charts/chart21.xml"/><Relationship Id="rId38" Type="http://schemas.openxmlformats.org/officeDocument/2006/relationships/chart" Target="../charts/chart26.xml"/><Relationship Id="rId46" Type="http://schemas.openxmlformats.org/officeDocument/2006/relationships/chart" Target="../charts/chart34.xml"/><Relationship Id="rId59" Type="http://schemas.openxmlformats.org/officeDocument/2006/relationships/chart" Target="../charts/chart47.xml"/><Relationship Id="rId67" Type="http://schemas.openxmlformats.org/officeDocument/2006/relationships/chart" Target="../charts/chart55.xml"/><Relationship Id="rId103" Type="http://schemas.openxmlformats.org/officeDocument/2006/relationships/chart" Target="../charts/chart91.xml"/><Relationship Id="rId108" Type="http://schemas.openxmlformats.org/officeDocument/2006/relationships/chart" Target="../charts/chart96.xml"/><Relationship Id="rId116" Type="http://schemas.openxmlformats.org/officeDocument/2006/relationships/chart" Target="../charts/chart104.xml"/><Relationship Id="rId20" Type="http://schemas.openxmlformats.org/officeDocument/2006/relationships/image" Target="../media/image7.png"/><Relationship Id="rId41" Type="http://schemas.openxmlformats.org/officeDocument/2006/relationships/chart" Target="../charts/chart29.xml"/><Relationship Id="rId54" Type="http://schemas.openxmlformats.org/officeDocument/2006/relationships/chart" Target="../charts/chart42.xml"/><Relationship Id="rId62" Type="http://schemas.openxmlformats.org/officeDocument/2006/relationships/chart" Target="../charts/chart50.xml"/><Relationship Id="rId70" Type="http://schemas.openxmlformats.org/officeDocument/2006/relationships/chart" Target="../charts/chart58.xml"/><Relationship Id="rId75" Type="http://schemas.openxmlformats.org/officeDocument/2006/relationships/chart" Target="../charts/chart63.xml"/><Relationship Id="rId83" Type="http://schemas.openxmlformats.org/officeDocument/2006/relationships/chart" Target="../charts/chart71.xml"/><Relationship Id="rId88" Type="http://schemas.openxmlformats.org/officeDocument/2006/relationships/chart" Target="../charts/chart76.xml"/><Relationship Id="rId91" Type="http://schemas.openxmlformats.org/officeDocument/2006/relationships/chart" Target="../charts/chart79.xml"/><Relationship Id="rId96" Type="http://schemas.openxmlformats.org/officeDocument/2006/relationships/chart" Target="../charts/chart84.xml"/><Relationship Id="rId111" Type="http://schemas.openxmlformats.org/officeDocument/2006/relationships/chart" Target="../charts/chart99.xml"/><Relationship Id="rId1" Type="http://schemas.openxmlformats.org/officeDocument/2006/relationships/chart" Target="../charts/chart1.xml"/><Relationship Id="rId6" Type="http://schemas.openxmlformats.org/officeDocument/2006/relationships/chart" Target="../charts/chart6.xml"/><Relationship Id="rId15" Type="http://schemas.openxmlformats.org/officeDocument/2006/relationships/image" Target="../media/image2.png"/><Relationship Id="rId23" Type="http://schemas.openxmlformats.org/officeDocument/2006/relationships/image" Target="../media/image10.png"/><Relationship Id="rId28" Type="http://schemas.openxmlformats.org/officeDocument/2006/relationships/chart" Target="../charts/chart16.xml"/><Relationship Id="rId36" Type="http://schemas.openxmlformats.org/officeDocument/2006/relationships/chart" Target="../charts/chart24.xml"/><Relationship Id="rId49" Type="http://schemas.openxmlformats.org/officeDocument/2006/relationships/chart" Target="../charts/chart37.xml"/><Relationship Id="rId57" Type="http://schemas.openxmlformats.org/officeDocument/2006/relationships/chart" Target="../charts/chart45.xml"/><Relationship Id="rId106" Type="http://schemas.openxmlformats.org/officeDocument/2006/relationships/chart" Target="../charts/chart94.xml"/><Relationship Id="rId114" Type="http://schemas.openxmlformats.org/officeDocument/2006/relationships/chart" Target="../charts/chart102.xml"/><Relationship Id="rId10" Type="http://schemas.openxmlformats.org/officeDocument/2006/relationships/chart" Target="../charts/chart10.xml"/><Relationship Id="rId31" Type="http://schemas.openxmlformats.org/officeDocument/2006/relationships/chart" Target="../charts/chart19.xml"/><Relationship Id="rId44" Type="http://schemas.openxmlformats.org/officeDocument/2006/relationships/chart" Target="../charts/chart32.xml"/><Relationship Id="rId52" Type="http://schemas.openxmlformats.org/officeDocument/2006/relationships/chart" Target="../charts/chart40.xml"/><Relationship Id="rId60" Type="http://schemas.openxmlformats.org/officeDocument/2006/relationships/chart" Target="../charts/chart48.xml"/><Relationship Id="rId65" Type="http://schemas.openxmlformats.org/officeDocument/2006/relationships/chart" Target="../charts/chart53.xml"/><Relationship Id="rId73" Type="http://schemas.openxmlformats.org/officeDocument/2006/relationships/chart" Target="../charts/chart61.xml"/><Relationship Id="rId78" Type="http://schemas.openxmlformats.org/officeDocument/2006/relationships/chart" Target="../charts/chart66.xml"/><Relationship Id="rId81" Type="http://schemas.openxmlformats.org/officeDocument/2006/relationships/chart" Target="../charts/chart69.xml"/><Relationship Id="rId86" Type="http://schemas.openxmlformats.org/officeDocument/2006/relationships/chart" Target="../charts/chart74.xml"/><Relationship Id="rId94" Type="http://schemas.openxmlformats.org/officeDocument/2006/relationships/chart" Target="../charts/chart82.xml"/><Relationship Id="rId99" Type="http://schemas.openxmlformats.org/officeDocument/2006/relationships/chart" Target="../charts/chart87.xml"/><Relationship Id="rId101" Type="http://schemas.openxmlformats.org/officeDocument/2006/relationships/chart" Target="../charts/chart89.xml"/><Relationship Id="rId4" Type="http://schemas.openxmlformats.org/officeDocument/2006/relationships/chart" Target="../charts/chart4.xml"/><Relationship Id="rId9" Type="http://schemas.openxmlformats.org/officeDocument/2006/relationships/chart" Target="../charts/chart9.xml"/><Relationship Id="rId13" Type="http://schemas.openxmlformats.org/officeDocument/2006/relationships/chart" Target="../charts/chart13.xml"/><Relationship Id="rId18" Type="http://schemas.openxmlformats.org/officeDocument/2006/relationships/image" Target="../media/image5.png"/><Relationship Id="rId39" Type="http://schemas.openxmlformats.org/officeDocument/2006/relationships/chart" Target="../charts/chart27.xml"/><Relationship Id="rId109" Type="http://schemas.openxmlformats.org/officeDocument/2006/relationships/chart" Target="../charts/chart97.xml"/><Relationship Id="rId34" Type="http://schemas.openxmlformats.org/officeDocument/2006/relationships/chart" Target="../charts/chart22.xml"/><Relationship Id="rId50" Type="http://schemas.openxmlformats.org/officeDocument/2006/relationships/chart" Target="../charts/chart38.xml"/><Relationship Id="rId55" Type="http://schemas.openxmlformats.org/officeDocument/2006/relationships/chart" Target="../charts/chart43.xml"/><Relationship Id="rId76" Type="http://schemas.openxmlformats.org/officeDocument/2006/relationships/chart" Target="../charts/chart64.xml"/><Relationship Id="rId97" Type="http://schemas.openxmlformats.org/officeDocument/2006/relationships/chart" Target="../charts/chart85.xml"/><Relationship Id="rId104" Type="http://schemas.openxmlformats.org/officeDocument/2006/relationships/chart" Target="../charts/chart92.xml"/><Relationship Id="rId7" Type="http://schemas.openxmlformats.org/officeDocument/2006/relationships/chart" Target="../charts/chart7.xml"/><Relationship Id="rId71" Type="http://schemas.openxmlformats.org/officeDocument/2006/relationships/chart" Target="../charts/chart59.xml"/><Relationship Id="rId92" Type="http://schemas.openxmlformats.org/officeDocument/2006/relationships/chart" Target="../charts/chart80.xml"/><Relationship Id="rId2" Type="http://schemas.openxmlformats.org/officeDocument/2006/relationships/chart" Target="../charts/chart2.xml"/><Relationship Id="rId29" Type="http://schemas.openxmlformats.org/officeDocument/2006/relationships/chart" Target="../charts/chart17.xml"/></Relationships>
</file>

<file path=xl/drawings/drawing1.xml><?xml version="1.0" encoding="utf-8"?>
<xdr:wsDr xmlns:xdr="http://schemas.openxmlformats.org/drawingml/2006/spreadsheetDrawing" xmlns:a="http://schemas.openxmlformats.org/drawingml/2006/main">
  <xdr:twoCellAnchor>
    <xdr:from>
      <xdr:col>1</xdr:col>
      <xdr:colOff>11339</xdr:colOff>
      <xdr:row>5</xdr:row>
      <xdr:rowOff>28575</xdr:rowOff>
    </xdr:from>
    <xdr:to>
      <xdr:col>7</xdr:col>
      <xdr:colOff>9525</xdr:colOff>
      <xdr:row>17</xdr:row>
      <xdr:rowOff>170089</xdr:rowOff>
    </xdr:to>
    <xdr:graphicFrame macro="">
      <xdr:nvGraphicFramePr>
        <xdr:cNvPr id="4" name="Diagram 2">
          <a:extLst>
            <a:ext uri="{FF2B5EF4-FFF2-40B4-BE49-F238E27FC236}">
              <a16:creationId xmlns:a16="http://schemas.microsoft.com/office/drawing/2014/main" id="{E73A5B58-49D3-EB40-A3F4-63A73C82FDC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22</xdr:col>
      <xdr:colOff>4329</xdr:colOff>
      <xdr:row>48</xdr:row>
      <xdr:rowOff>101476</xdr:rowOff>
    </xdr:from>
    <xdr:to>
      <xdr:col>28</xdr:col>
      <xdr:colOff>68035</xdr:colOff>
      <xdr:row>63</xdr:row>
      <xdr:rowOff>56695</xdr:rowOff>
    </xdr:to>
    <xdr:graphicFrame macro="">
      <xdr:nvGraphicFramePr>
        <xdr:cNvPr id="6" name="Diagram 2">
          <a:extLst>
            <a:ext uri="{FF2B5EF4-FFF2-40B4-BE49-F238E27FC236}">
              <a16:creationId xmlns:a16="http://schemas.microsoft.com/office/drawing/2014/main" id="{F506FADE-4453-6DD7-E038-ECFA507B777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25151</xdr:colOff>
      <xdr:row>48</xdr:row>
      <xdr:rowOff>97517</xdr:rowOff>
    </xdr:from>
    <xdr:to>
      <xdr:col>14</xdr:col>
      <xdr:colOff>22679</xdr:colOff>
      <xdr:row>62</xdr:row>
      <xdr:rowOff>181429</xdr:rowOff>
    </xdr:to>
    <xdr:graphicFrame macro="">
      <xdr:nvGraphicFramePr>
        <xdr:cNvPr id="8" name="Diagram 2">
          <a:extLst>
            <a:ext uri="{FF2B5EF4-FFF2-40B4-BE49-F238E27FC236}">
              <a16:creationId xmlns:a16="http://schemas.microsoft.com/office/drawing/2014/main" id="{BE918726-0D0B-603F-E665-C9A8ABE5007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11339</xdr:colOff>
      <xdr:row>69</xdr:row>
      <xdr:rowOff>56283</xdr:rowOff>
    </xdr:from>
    <xdr:to>
      <xdr:col>14</xdr:col>
      <xdr:colOff>56696</xdr:colOff>
      <xdr:row>84</xdr:row>
      <xdr:rowOff>136071</xdr:rowOff>
    </xdr:to>
    <xdr:graphicFrame macro="">
      <xdr:nvGraphicFramePr>
        <xdr:cNvPr id="17" name="Diagram 2">
          <a:extLst>
            <a:ext uri="{FF2B5EF4-FFF2-40B4-BE49-F238E27FC236}">
              <a16:creationId xmlns:a16="http://schemas.microsoft.com/office/drawing/2014/main" id="{B9A21A54-9479-47F4-36C3-593D7C5AB2E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22</xdr:col>
      <xdr:colOff>0</xdr:colOff>
      <xdr:row>69</xdr:row>
      <xdr:rowOff>84529</xdr:rowOff>
    </xdr:from>
    <xdr:to>
      <xdr:col>28</xdr:col>
      <xdr:colOff>41028</xdr:colOff>
      <xdr:row>84</xdr:row>
      <xdr:rowOff>147411</xdr:rowOff>
    </xdr:to>
    <xdr:graphicFrame macro="">
      <xdr:nvGraphicFramePr>
        <xdr:cNvPr id="20" name="Diagram 2">
          <a:extLst>
            <a:ext uri="{FF2B5EF4-FFF2-40B4-BE49-F238E27FC236}">
              <a16:creationId xmlns:a16="http://schemas.microsoft.com/office/drawing/2014/main" id="{0B5B419A-C5D4-FE39-3735-336D011B876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15669</xdr:colOff>
      <xdr:row>90</xdr:row>
      <xdr:rowOff>117103</xdr:rowOff>
    </xdr:from>
    <xdr:to>
      <xdr:col>14</xdr:col>
      <xdr:colOff>61026</xdr:colOff>
      <xdr:row>106</xdr:row>
      <xdr:rowOff>4124</xdr:rowOff>
    </xdr:to>
    <xdr:graphicFrame macro="">
      <xdr:nvGraphicFramePr>
        <xdr:cNvPr id="22" name="Diagram 2">
          <a:extLst>
            <a:ext uri="{FF2B5EF4-FFF2-40B4-BE49-F238E27FC236}">
              <a16:creationId xmlns:a16="http://schemas.microsoft.com/office/drawing/2014/main" id="{91212B16-6CF1-762E-0073-BFF64E3ED88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22</xdr:col>
      <xdr:colOff>49892</xdr:colOff>
      <xdr:row>90</xdr:row>
      <xdr:rowOff>88240</xdr:rowOff>
    </xdr:from>
    <xdr:to>
      <xdr:col>28</xdr:col>
      <xdr:colOff>34018</xdr:colOff>
      <xdr:row>106</xdr:row>
      <xdr:rowOff>22679</xdr:rowOff>
    </xdr:to>
    <xdr:graphicFrame macro="">
      <xdr:nvGraphicFramePr>
        <xdr:cNvPr id="27" name="Diagram 2">
          <a:extLst>
            <a:ext uri="{FF2B5EF4-FFF2-40B4-BE49-F238E27FC236}">
              <a16:creationId xmlns:a16="http://schemas.microsoft.com/office/drawing/2014/main" id="{067D9BE3-6AF5-1B5E-0A34-27A12BEEE9D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7</xdr:col>
      <xdr:colOff>741385</xdr:colOff>
      <xdr:row>110</xdr:row>
      <xdr:rowOff>94220</xdr:rowOff>
    </xdr:from>
    <xdr:to>
      <xdr:col>14</xdr:col>
      <xdr:colOff>27010</xdr:colOff>
      <xdr:row>125</xdr:row>
      <xdr:rowOff>174008</xdr:rowOff>
    </xdr:to>
    <xdr:graphicFrame macro="">
      <xdr:nvGraphicFramePr>
        <xdr:cNvPr id="29" name="Diagram 2">
          <a:extLst>
            <a:ext uri="{FF2B5EF4-FFF2-40B4-BE49-F238E27FC236}">
              <a16:creationId xmlns:a16="http://schemas.microsoft.com/office/drawing/2014/main" id="{964FE03F-F994-60B3-649A-E0C8EAF8F62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22</xdr:col>
      <xdr:colOff>32781</xdr:colOff>
      <xdr:row>110</xdr:row>
      <xdr:rowOff>76076</xdr:rowOff>
    </xdr:from>
    <xdr:to>
      <xdr:col>28</xdr:col>
      <xdr:colOff>16907</xdr:colOff>
      <xdr:row>126</xdr:row>
      <xdr:rowOff>10514</xdr:rowOff>
    </xdr:to>
    <xdr:graphicFrame macro="">
      <xdr:nvGraphicFramePr>
        <xdr:cNvPr id="31" name="Diagram 2">
          <a:extLst>
            <a:ext uri="{FF2B5EF4-FFF2-40B4-BE49-F238E27FC236}">
              <a16:creationId xmlns:a16="http://schemas.microsoft.com/office/drawing/2014/main" id="{A363ADE0-173A-8B0F-7A73-2B716E72F38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751690</xdr:colOff>
      <xdr:row>130</xdr:row>
      <xdr:rowOff>73395</xdr:rowOff>
    </xdr:from>
    <xdr:to>
      <xdr:col>14</xdr:col>
      <xdr:colOff>37315</xdr:colOff>
      <xdr:row>145</xdr:row>
      <xdr:rowOff>153183</xdr:rowOff>
    </xdr:to>
    <xdr:graphicFrame macro="">
      <xdr:nvGraphicFramePr>
        <xdr:cNvPr id="5" name="Diagram 2">
          <a:extLst>
            <a:ext uri="{FF2B5EF4-FFF2-40B4-BE49-F238E27FC236}">
              <a16:creationId xmlns:a16="http://schemas.microsoft.com/office/drawing/2014/main" id="{56FD4698-66C1-82E7-860E-C883B1C26DE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22</xdr:col>
      <xdr:colOff>34018</xdr:colOff>
      <xdr:row>130</xdr:row>
      <xdr:rowOff>79374</xdr:rowOff>
    </xdr:from>
    <xdr:to>
      <xdr:col>28</xdr:col>
      <xdr:colOff>18144</xdr:colOff>
      <xdr:row>146</xdr:row>
      <xdr:rowOff>13813</xdr:rowOff>
    </xdr:to>
    <xdr:graphicFrame macro="">
      <xdr:nvGraphicFramePr>
        <xdr:cNvPr id="32" name="Diagram 2">
          <a:extLst>
            <a:ext uri="{FF2B5EF4-FFF2-40B4-BE49-F238E27FC236}">
              <a16:creationId xmlns:a16="http://schemas.microsoft.com/office/drawing/2014/main" id="{04162BA3-0608-4228-939D-EFB1403E851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8</xdr:col>
      <xdr:colOff>22679</xdr:colOff>
      <xdr:row>150</xdr:row>
      <xdr:rowOff>90714</xdr:rowOff>
    </xdr:from>
    <xdr:to>
      <xdr:col>14</xdr:col>
      <xdr:colOff>68036</xdr:colOff>
      <xdr:row>165</xdr:row>
      <xdr:rowOff>170502</xdr:rowOff>
    </xdr:to>
    <xdr:graphicFrame macro="">
      <xdr:nvGraphicFramePr>
        <xdr:cNvPr id="34" name="Diagram 2">
          <a:extLst>
            <a:ext uri="{FF2B5EF4-FFF2-40B4-BE49-F238E27FC236}">
              <a16:creationId xmlns:a16="http://schemas.microsoft.com/office/drawing/2014/main" id="{4B4B3797-D214-4904-BF10-B15F990AF4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22</xdr:col>
      <xdr:colOff>22679</xdr:colOff>
      <xdr:row>150</xdr:row>
      <xdr:rowOff>79375</xdr:rowOff>
    </xdr:from>
    <xdr:to>
      <xdr:col>28</xdr:col>
      <xdr:colOff>6805</xdr:colOff>
      <xdr:row>166</xdr:row>
      <xdr:rowOff>13813</xdr:rowOff>
    </xdr:to>
    <xdr:graphicFrame macro="">
      <xdr:nvGraphicFramePr>
        <xdr:cNvPr id="36" name="Diagram 2">
          <a:extLst>
            <a:ext uri="{FF2B5EF4-FFF2-40B4-BE49-F238E27FC236}">
              <a16:creationId xmlns:a16="http://schemas.microsoft.com/office/drawing/2014/main" id="{FB789EB5-15B5-4070-891A-AB1EBD84F6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30</xdr:col>
      <xdr:colOff>374196</xdr:colOff>
      <xdr:row>47</xdr:row>
      <xdr:rowOff>498929</xdr:rowOff>
    </xdr:from>
    <xdr:to>
      <xdr:col>33</xdr:col>
      <xdr:colOff>165100</xdr:colOff>
      <xdr:row>53</xdr:row>
      <xdr:rowOff>154026</xdr:rowOff>
    </xdr:to>
    <xdr:pic>
      <xdr:nvPicPr>
        <xdr:cNvPr id="9" name="Bilde 8">
          <a:extLst>
            <a:ext uri="{FF2B5EF4-FFF2-40B4-BE49-F238E27FC236}">
              <a16:creationId xmlns:a16="http://schemas.microsoft.com/office/drawing/2014/main" id="{730B7ED4-4E6B-0ADF-292E-F5AC1300840E}"/>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23166160" y="5102679"/>
          <a:ext cx="2063751" cy="1291582"/>
        </a:xfrm>
        <a:prstGeom prst="rect">
          <a:avLst/>
        </a:prstGeom>
      </xdr:spPr>
    </xdr:pic>
    <xdr:clientData/>
  </xdr:twoCellAnchor>
  <xdr:twoCellAnchor editAs="oneCell">
    <xdr:from>
      <xdr:col>30</xdr:col>
      <xdr:colOff>362858</xdr:colOff>
      <xdr:row>55</xdr:row>
      <xdr:rowOff>0</xdr:rowOff>
    </xdr:from>
    <xdr:to>
      <xdr:col>33</xdr:col>
      <xdr:colOff>181429</xdr:colOff>
      <xdr:row>61</xdr:row>
      <xdr:rowOff>147697</xdr:rowOff>
    </xdr:to>
    <xdr:pic>
      <xdr:nvPicPr>
        <xdr:cNvPr id="12" name="Bilde 11">
          <a:extLst>
            <a:ext uri="{FF2B5EF4-FFF2-40B4-BE49-F238E27FC236}">
              <a16:creationId xmlns:a16="http://schemas.microsoft.com/office/drawing/2014/main" id="{400F2E12-DD21-E354-8689-5FE7C67E2455}"/>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23154822" y="6463393"/>
          <a:ext cx="2097768" cy="1297954"/>
        </a:xfrm>
        <a:prstGeom prst="rect">
          <a:avLst/>
        </a:prstGeom>
      </xdr:spPr>
    </xdr:pic>
    <xdr:clientData/>
  </xdr:twoCellAnchor>
  <xdr:twoCellAnchor editAs="oneCell">
    <xdr:from>
      <xdr:col>30</xdr:col>
      <xdr:colOff>362858</xdr:colOff>
      <xdr:row>66</xdr:row>
      <xdr:rowOff>147410</xdr:rowOff>
    </xdr:from>
    <xdr:to>
      <xdr:col>33</xdr:col>
      <xdr:colOff>164732</xdr:colOff>
      <xdr:row>70</xdr:row>
      <xdr:rowOff>50800</xdr:rowOff>
    </xdr:to>
    <xdr:pic>
      <xdr:nvPicPr>
        <xdr:cNvPr id="37" name="Bilde 36">
          <a:extLst>
            <a:ext uri="{FF2B5EF4-FFF2-40B4-BE49-F238E27FC236}">
              <a16:creationId xmlns:a16="http://schemas.microsoft.com/office/drawing/2014/main" id="{5149EBC9-6AFB-EDF5-5C7D-B3DB99B4919F}"/>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23154822" y="8731249"/>
          <a:ext cx="2081071" cy="1349376"/>
        </a:xfrm>
        <a:prstGeom prst="rect">
          <a:avLst/>
        </a:prstGeom>
      </xdr:spPr>
    </xdr:pic>
    <xdr:clientData/>
  </xdr:twoCellAnchor>
  <xdr:twoCellAnchor editAs="oneCell">
    <xdr:from>
      <xdr:col>30</xdr:col>
      <xdr:colOff>374196</xdr:colOff>
      <xdr:row>72</xdr:row>
      <xdr:rowOff>79374</xdr:rowOff>
    </xdr:from>
    <xdr:to>
      <xdr:col>33</xdr:col>
      <xdr:colOff>210962</xdr:colOff>
      <xdr:row>79</xdr:row>
      <xdr:rowOff>90715</xdr:rowOff>
    </xdr:to>
    <xdr:pic>
      <xdr:nvPicPr>
        <xdr:cNvPr id="39" name="Bilde 38">
          <a:extLst>
            <a:ext uri="{FF2B5EF4-FFF2-40B4-BE49-F238E27FC236}">
              <a16:creationId xmlns:a16="http://schemas.microsoft.com/office/drawing/2014/main" id="{2CCACAE5-757E-3AF4-4C68-A0D29B262C92}"/>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23166160" y="10182678"/>
          <a:ext cx="2115963" cy="1360715"/>
        </a:xfrm>
        <a:prstGeom prst="rect">
          <a:avLst/>
        </a:prstGeom>
      </xdr:spPr>
    </xdr:pic>
    <xdr:clientData/>
  </xdr:twoCellAnchor>
  <xdr:twoCellAnchor editAs="oneCell">
    <xdr:from>
      <xdr:col>30</xdr:col>
      <xdr:colOff>236441</xdr:colOff>
      <xdr:row>89</xdr:row>
      <xdr:rowOff>255879</xdr:rowOff>
    </xdr:from>
    <xdr:to>
      <xdr:col>33</xdr:col>
      <xdr:colOff>204107</xdr:colOff>
      <xdr:row>94</xdr:row>
      <xdr:rowOff>172443</xdr:rowOff>
    </xdr:to>
    <xdr:pic>
      <xdr:nvPicPr>
        <xdr:cNvPr id="11" name="Bilde 10">
          <a:extLst>
            <a:ext uri="{FF2B5EF4-FFF2-40B4-BE49-F238E27FC236}">
              <a16:creationId xmlns:a16="http://schemas.microsoft.com/office/drawing/2014/main" id="{B5486D7A-8B5B-F1AD-5F23-25040BDF91F4}"/>
            </a:ext>
          </a:extLst>
        </xdr:cNvPr>
        <xdr:cNvPicPr>
          <a:picLocks noChangeAspect="1"/>
        </xdr:cNvPicPr>
      </xdr:nvPicPr>
      <xdr:blipFill>
        <a:blip xmlns:r="http://schemas.openxmlformats.org/officeDocument/2006/relationships" r:embed="rId18">
          <a:extLst>
            <a:ext uri="{28A0092B-C50C-407E-A947-70E740481C1C}">
              <a14:useLocalDpi xmlns:a14="http://schemas.microsoft.com/office/drawing/2010/main" val="0"/>
            </a:ext>
          </a:extLst>
        </a:blip>
        <a:stretch>
          <a:fillRect/>
        </a:stretch>
      </xdr:blipFill>
      <xdr:spPr>
        <a:xfrm>
          <a:off x="22979808" y="13211823"/>
          <a:ext cx="2242003" cy="1369871"/>
        </a:xfrm>
        <a:prstGeom prst="rect">
          <a:avLst/>
        </a:prstGeom>
      </xdr:spPr>
    </xdr:pic>
    <xdr:clientData/>
  </xdr:twoCellAnchor>
  <xdr:twoCellAnchor editAs="oneCell">
    <xdr:from>
      <xdr:col>30</xdr:col>
      <xdr:colOff>275512</xdr:colOff>
      <xdr:row>96</xdr:row>
      <xdr:rowOff>97196</xdr:rowOff>
    </xdr:from>
    <xdr:to>
      <xdr:col>33</xdr:col>
      <xdr:colOff>317371</xdr:colOff>
      <xdr:row>104</xdr:row>
      <xdr:rowOff>39862</xdr:rowOff>
    </xdr:to>
    <xdr:pic>
      <xdr:nvPicPr>
        <xdr:cNvPr id="15" name="Bilde 14">
          <a:extLst>
            <a:ext uri="{FF2B5EF4-FFF2-40B4-BE49-F238E27FC236}">
              <a16:creationId xmlns:a16="http://schemas.microsoft.com/office/drawing/2014/main" id="{93AFD894-461C-7AF6-CA99-99E665B2271B}"/>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a:off x="23018879" y="14666558"/>
          <a:ext cx="2313021" cy="1420012"/>
        </a:xfrm>
        <a:prstGeom prst="rect">
          <a:avLst/>
        </a:prstGeom>
      </xdr:spPr>
    </xdr:pic>
    <xdr:clientData/>
  </xdr:twoCellAnchor>
  <xdr:twoCellAnchor editAs="oneCell">
    <xdr:from>
      <xdr:col>30</xdr:col>
      <xdr:colOff>333635</xdr:colOff>
      <xdr:row>115</xdr:row>
      <xdr:rowOff>162056</xdr:rowOff>
    </xdr:from>
    <xdr:to>
      <xdr:col>33</xdr:col>
      <xdr:colOff>333634</xdr:colOff>
      <xdr:row>123</xdr:row>
      <xdr:rowOff>98162</xdr:rowOff>
    </xdr:to>
    <xdr:pic>
      <xdr:nvPicPr>
        <xdr:cNvPr id="41" name="Bilde 40">
          <a:extLst>
            <a:ext uri="{FF2B5EF4-FFF2-40B4-BE49-F238E27FC236}">
              <a16:creationId xmlns:a16="http://schemas.microsoft.com/office/drawing/2014/main" id="{44614D39-9DE0-8655-D799-4E5B126DD02A}"/>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23077002" y="18619173"/>
          <a:ext cx="2271161" cy="1413452"/>
        </a:xfrm>
        <a:prstGeom prst="rect">
          <a:avLst/>
        </a:prstGeom>
      </xdr:spPr>
    </xdr:pic>
    <xdr:clientData/>
  </xdr:twoCellAnchor>
  <xdr:twoCellAnchor editAs="oneCell">
    <xdr:from>
      <xdr:col>30</xdr:col>
      <xdr:colOff>333635</xdr:colOff>
      <xdr:row>108</xdr:row>
      <xdr:rowOff>171774</xdr:rowOff>
    </xdr:from>
    <xdr:to>
      <xdr:col>33</xdr:col>
      <xdr:colOff>357122</xdr:colOff>
      <xdr:row>114</xdr:row>
      <xdr:rowOff>46702</xdr:rowOff>
    </xdr:to>
    <xdr:pic>
      <xdr:nvPicPr>
        <xdr:cNvPr id="43" name="Bilde 42">
          <a:extLst>
            <a:ext uri="{FF2B5EF4-FFF2-40B4-BE49-F238E27FC236}">
              <a16:creationId xmlns:a16="http://schemas.microsoft.com/office/drawing/2014/main" id="{B44A4AF0-0F9E-A485-BE9F-5A30BCC80364}"/>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23077002" y="17015473"/>
          <a:ext cx="2294649" cy="1431925"/>
        </a:xfrm>
        <a:prstGeom prst="rect">
          <a:avLst/>
        </a:prstGeom>
      </xdr:spPr>
    </xdr:pic>
    <xdr:clientData/>
  </xdr:twoCellAnchor>
  <xdr:twoCellAnchor editAs="oneCell">
    <xdr:from>
      <xdr:col>30</xdr:col>
      <xdr:colOff>320739</xdr:colOff>
      <xdr:row>128</xdr:row>
      <xdr:rowOff>123177</xdr:rowOff>
    </xdr:from>
    <xdr:to>
      <xdr:col>33</xdr:col>
      <xdr:colOff>280745</xdr:colOff>
      <xdr:row>133</xdr:row>
      <xdr:rowOff>52485</xdr:rowOff>
    </xdr:to>
    <xdr:pic>
      <xdr:nvPicPr>
        <xdr:cNvPr id="45" name="Bilde 44">
          <a:extLst>
            <a:ext uri="{FF2B5EF4-FFF2-40B4-BE49-F238E27FC236}">
              <a16:creationId xmlns:a16="http://schemas.microsoft.com/office/drawing/2014/main" id="{A0BC9E67-CD99-7586-F31C-A5C8D0A77BD0}"/>
            </a:ext>
          </a:extLst>
        </xdr:cNvPr>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23064106" y="21039299"/>
          <a:ext cx="2227993" cy="1412487"/>
        </a:xfrm>
        <a:prstGeom prst="rect">
          <a:avLst/>
        </a:prstGeom>
      </xdr:spPr>
    </xdr:pic>
    <xdr:clientData/>
  </xdr:twoCellAnchor>
  <xdr:twoCellAnchor editAs="oneCell">
    <xdr:from>
      <xdr:col>30</xdr:col>
      <xdr:colOff>353073</xdr:colOff>
      <xdr:row>135</xdr:row>
      <xdr:rowOff>45423</xdr:rowOff>
    </xdr:from>
    <xdr:to>
      <xdr:col>33</xdr:col>
      <xdr:colOff>261738</xdr:colOff>
      <xdr:row>142</xdr:row>
      <xdr:rowOff>106915</xdr:rowOff>
    </xdr:to>
    <xdr:pic>
      <xdr:nvPicPr>
        <xdr:cNvPr id="49" name="Bilde 48">
          <a:extLst>
            <a:ext uri="{FF2B5EF4-FFF2-40B4-BE49-F238E27FC236}">
              <a16:creationId xmlns:a16="http://schemas.microsoft.com/office/drawing/2014/main" id="{BD70623B-80FF-A116-257A-72F3C563027C}"/>
            </a:ext>
          </a:extLst>
        </xdr:cNvPr>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Lst>
        </a:blip>
        <a:stretch>
          <a:fillRect/>
        </a:stretch>
      </xdr:blipFill>
      <xdr:spPr>
        <a:xfrm>
          <a:off x="23096440" y="22574964"/>
          <a:ext cx="2183002" cy="1354170"/>
        </a:xfrm>
        <a:prstGeom prst="rect">
          <a:avLst/>
        </a:prstGeom>
      </xdr:spPr>
    </xdr:pic>
    <xdr:clientData/>
  </xdr:twoCellAnchor>
  <xdr:twoCellAnchor editAs="oneCell">
    <xdr:from>
      <xdr:col>30</xdr:col>
      <xdr:colOff>314195</xdr:colOff>
      <xdr:row>148</xdr:row>
      <xdr:rowOff>103738</xdr:rowOff>
    </xdr:from>
    <xdr:to>
      <xdr:col>33</xdr:col>
      <xdr:colOff>281668</xdr:colOff>
      <xdr:row>153</xdr:row>
      <xdr:rowOff>87777</xdr:rowOff>
    </xdr:to>
    <xdr:pic>
      <xdr:nvPicPr>
        <xdr:cNvPr id="51" name="Bilde 50">
          <a:extLst>
            <a:ext uri="{FF2B5EF4-FFF2-40B4-BE49-F238E27FC236}">
              <a16:creationId xmlns:a16="http://schemas.microsoft.com/office/drawing/2014/main" id="{CDA406DA-88CA-B66E-9DD1-C3BB49481A28}"/>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a:off x="23057562" y="25092284"/>
          <a:ext cx="2232285" cy="1409614"/>
        </a:xfrm>
        <a:prstGeom prst="rect">
          <a:avLst/>
        </a:prstGeom>
      </xdr:spPr>
    </xdr:pic>
    <xdr:clientData/>
  </xdr:twoCellAnchor>
  <xdr:twoCellAnchor editAs="oneCell">
    <xdr:from>
      <xdr:col>30</xdr:col>
      <xdr:colOff>320740</xdr:colOff>
      <xdr:row>154</xdr:row>
      <xdr:rowOff>162054</xdr:rowOff>
    </xdr:from>
    <xdr:to>
      <xdr:col>33</xdr:col>
      <xdr:colOff>320740</xdr:colOff>
      <xdr:row>162</xdr:row>
      <xdr:rowOff>128193</xdr:rowOff>
    </xdr:to>
    <xdr:pic>
      <xdr:nvPicPr>
        <xdr:cNvPr id="53" name="Bilde 52">
          <a:extLst>
            <a:ext uri="{FF2B5EF4-FFF2-40B4-BE49-F238E27FC236}">
              <a16:creationId xmlns:a16="http://schemas.microsoft.com/office/drawing/2014/main" id="{398FD5C8-E41D-E349-9042-DEC269A87339}"/>
            </a:ext>
          </a:extLst>
        </xdr:cNvPr>
        <xdr:cNvPicPr>
          <a:picLocks noChangeAspect="1"/>
        </xdr:cNvPicPr>
      </xdr:nvPicPr>
      <xdr:blipFill>
        <a:blip xmlns:r="http://schemas.openxmlformats.org/officeDocument/2006/relationships" r:embed="rId25">
          <a:extLst>
            <a:ext uri="{28A0092B-C50C-407E-A947-70E740481C1C}">
              <a14:useLocalDpi xmlns:a14="http://schemas.microsoft.com/office/drawing/2010/main" val="0"/>
            </a:ext>
          </a:extLst>
        </a:blip>
        <a:stretch>
          <a:fillRect/>
        </a:stretch>
      </xdr:blipFill>
      <xdr:spPr>
        <a:xfrm>
          <a:off x="23064107" y="26579350"/>
          <a:ext cx="2274337" cy="1433961"/>
        </a:xfrm>
        <a:prstGeom prst="rect">
          <a:avLst/>
        </a:prstGeom>
      </xdr:spPr>
    </xdr:pic>
    <xdr:clientData/>
  </xdr:twoCellAnchor>
  <xdr:twoCellAnchor>
    <xdr:from>
      <xdr:col>7</xdr:col>
      <xdr:colOff>750094</xdr:colOff>
      <xdr:row>170</xdr:row>
      <xdr:rowOff>119062</xdr:rowOff>
    </xdr:from>
    <xdr:to>
      <xdr:col>14</xdr:col>
      <xdr:colOff>27101</xdr:colOff>
      <xdr:row>186</xdr:row>
      <xdr:rowOff>23431</xdr:rowOff>
    </xdr:to>
    <xdr:graphicFrame macro="">
      <xdr:nvGraphicFramePr>
        <xdr:cNvPr id="55" name="Diagram 54">
          <a:extLst>
            <a:ext uri="{FF2B5EF4-FFF2-40B4-BE49-F238E27FC236}">
              <a16:creationId xmlns:a16="http://schemas.microsoft.com/office/drawing/2014/main" id="{7ECCDCE0-1472-480A-991E-93C2A067B2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22</xdr:col>
      <xdr:colOff>23813</xdr:colOff>
      <xdr:row>170</xdr:row>
      <xdr:rowOff>71438</xdr:rowOff>
    </xdr:from>
    <xdr:to>
      <xdr:col>28</xdr:col>
      <xdr:colOff>11114</xdr:colOff>
      <xdr:row>185</xdr:row>
      <xdr:rowOff>174945</xdr:rowOff>
    </xdr:to>
    <xdr:graphicFrame macro="">
      <xdr:nvGraphicFramePr>
        <xdr:cNvPr id="57" name="Diagram 2">
          <a:extLst>
            <a:ext uri="{FF2B5EF4-FFF2-40B4-BE49-F238E27FC236}">
              <a16:creationId xmlns:a16="http://schemas.microsoft.com/office/drawing/2014/main" id="{7B263238-23A0-485E-9CD5-9D96D47042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xdr:from>
      <xdr:col>8</xdr:col>
      <xdr:colOff>0</xdr:colOff>
      <xdr:row>191</xdr:row>
      <xdr:rowOff>0</xdr:rowOff>
    </xdr:from>
    <xdr:to>
      <xdr:col>14</xdr:col>
      <xdr:colOff>39007</xdr:colOff>
      <xdr:row>206</xdr:row>
      <xdr:rowOff>79788</xdr:rowOff>
    </xdr:to>
    <xdr:graphicFrame macro="">
      <xdr:nvGraphicFramePr>
        <xdr:cNvPr id="60" name="Diagram 59">
          <a:extLst>
            <a:ext uri="{FF2B5EF4-FFF2-40B4-BE49-F238E27FC236}">
              <a16:creationId xmlns:a16="http://schemas.microsoft.com/office/drawing/2014/main" id="{3A5E8FB9-579D-4B45-9273-1840A83175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xdr:from>
      <xdr:col>22</xdr:col>
      <xdr:colOff>0</xdr:colOff>
      <xdr:row>191</xdr:row>
      <xdr:rowOff>0</xdr:rowOff>
    </xdr:from>
    <xdr:to>
      <xdr:col>27</xdr:col>
      <xdr:colOff>739776</xdr:colOff>
      <xdr:row>206</xdr:row>
      <xdr:rowOff>113032</xdr:rowOff>
    </xdr:to>
    <xdr:graphicFrame macro="">
      <xdr:nvGraphicFramePr>
        <xdr:cNvPr id="62" name="Diagram 2">
          <a:extLst>
            <a:ext uri="{FF2B5EF4-FFF2-40B4-BE49-F238E27FC236}">
              <a16:creationId xmlns:a16="http://schemas.microsoft.com/office/drawing/2014/main" id="{6A295B44-2E4A-4FA9-8EDC-98F452DFE6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xdr:from>
      <xdr:col>7</xdr:col>
      <xdr:colOff>734786</xdr:colOff>
      <xdr:row>210</xdr:row>
      <xdr:rowOff>68036</xdr:rowOff>
    </xdr:from>
    <xdr:to>
      <xdr:col>14</xdr:col>
      <xdr:colOff>2268</xdr:colOff>
      <xdr:row>225</xdr:row>
      <xdr:rowOff>154175</xdr:rowOff>
    </xdr:to>
    <xdr:graphicFrame macro="">
      <xdr:nvGraphicFramePr>
        <xdr:cNvPr id="64" name="Diagram 63">
          <a:extLst>
            <a:ext uri="{FF2B5EF4-FFF2-40B4-BE49-F238E27FC236}">
              <a16:creationId xmlns:a16="http://schemas.microsoft.com/office/drawing/2014/main" id="{29A5DD2E-AAFD-4003-A75E-46FE3EDE34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xdr:from>
      <xdr:col>8</xdr:col>
      <xdr:colOff>0</xdr:colOff>
      <xdr:row>230</xdr:row>
      <xdr:rowOff>136072</xdr:rowOff>
    </xdr:from>
    <xdr:to>
      <xdr:col>14</xdr:col>
      <xdr:colOff>39007</xdr:colOff>
      <xdr:row>246</xdr:row>
      <xdr:rowOff>54842</xdr:rowOff>
    </xdr:to>
    <xdr:graphicFrame macro="">
      <xdr:nvGraphicFramePr>
        <xdr:cNvPr id="66" name="Diagram 65">
          <a:extLst>
            <a:ext uri="{FF2B5EF4-FFF2-40B4-BE49-F238E27FC236}">
              <a16:creationId xmlns:a16="http://schemas.microsoft.com/office/drawing/2014/main" id="{A99AE0F9-BBC9-4374-9545-C7ECFEDB29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xdr:from>
      <xdr:col>7</xdr:col>
      <xdr:colOff>738187</xdr:colOff>
      <xdr:row>305</xdr:row>
      <xdr:rowOff>95251</xdr:rowOff>
    </xdr:from>
    <xdr:to>
      <xdr:col>14</xdr:col>
      <xdr:colOff>12019</xdr:colOff>
      <xdr:row>321</xdr:row>
      <xdr:rowOff>14021</xdr:rowOff>
    </xdr:to>
    <xdr:graphicFrame macro="">
      <xdr:nvGraphicFramePr>
        <xdr:cNvPr id="71" name="Diagram 70">
          <a:extLst>
            <a:ext uri="{FF2B5EF4-FFF2-40B4-BE49-F238E27FC236}">
              <a16:creationId xmlns:a16="http://schemas.microsoft.com/office/drawing/2014/main" id="{521A1E74-9A1E-45A2-B8B4-56BD382A0D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xdr:from>
      <xdr:col>8</xdr:col>
      <xdr:colOff>11906</xdr:colOff>
      <xdr:row>325</xdr:row>
      <xdr:rowOff>59532</xdr:rowOff>
    </xdr:from>
    <xdr:to>
      <xdr:col>14</xdr:col>
      <xdr:colOff>47738</xdr:colOff>
      <xdr:row>340</xdr:row>
      <xdr:rowOff>163245</xdr:rowOff>
    </xdr:to>
    <xdr:graphicFrame macro="">
      <xdr:nvGraphicFramePr>
        <xdr:cNvPr id="73" name="Diagram 72">
          <a:extLst>
            <a:ext uri="{FF2B5EF4-FFF2-40B4-BE49-F238E27FC236}">
              <a16:creationId xmlns:a16="http://schemas.microsoft.com/office/drawing/2014/main" id="{006D29DB-1FF7-4EEA-875D-6CEE9A6B6E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xdr:from>
      <xdr:col>0</xdr:col>
      <xdr:colOff>738188</xdr:colOff>
      <xdr:row>345</xdr:row>
      <xdr:rowOff>95251</xdr:rowOff>
    </xdr:from>
    <xdr:to>
      <xdr:col>7</xdr:col>
      <xdr:colOff>12020</xdr:colOff>
      <xdr:row>361</xdr:row>
      <xdr:rowOff>20371</xdr:rowOff>
    </xdr:to>
    <xdr:graphicFrame macro="">
      <xdr:nvGraphicFramePr>
        <xdr:cNvPr id="74" name="Diagram 73">
          <a:extLst>
            <a:ext uri="{FF2B5EF4-FFF2-40B4-BE49-F238E27FC236}">
              <a16:creationId xmlns:a16="http://schemas.microsoft.com/office/drawing/2014/main" id="{EF5D4968-193D-49AB-BFE2-0AD5D6692B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xdr:from>
      <xdr:col>8</xdr:col>
      <xdr:colOff>0</xdr:colOff>
      <xdr:row>345</xdr:row>
      <xdr:rowOff>59531</xdr:rowOff>
    </xdr:from>
    <xdr:to>
      <xdr:col>14</xdr:col>
      <xdr:colOff>29482</xdr:colOff>
      <xdr:row>360</xdr:row>
      <xdr:rowOff>163244</xdr:rowOff>
    </xdr:to>
    <xdr:graphicFrame macro="">
      <xdr:nvGraphicFramePr>
        <xdr:cNvPr id="75" name="Diagram 74">
          <a:extLst>
            <a:ext uri="{FF2B5EF4-FFF2-40B4-BE49-F238E27FC236}">
              <a16:creationId xmlns:a16="http://schemas.microsoft.com/office/drawing/2014/main" id="{CA357BE4-8B65-4527-8E65-E1254BCB3E2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xdr:from>
      <xdr:col>0</xdr:col>
      <xdr:colOff>738188</xdr:colOff>
      <xdr:row>250</xdr:row>
      <xdr:rowOff>47625</xdr:rowOff>
    </xdr:from>
    <xdr:to>
      <xdr:col>7</xdr:col>
      <xdr:colOff>15195</xdr:colOff>
      <xdr:row>265</xdr:row>
      <xdr:rowOff>132289</xdr:rowOff>
    </xdr:to>
    <xdr:graphicFrame macro="">
      <xdr:nvGraphicFramePr>
        <xdr:cNvPr id="77" name="Diagram 76">
          <a:extLst>
            <a:ext uri="{FF2B5EF4-FFF2-40B4-BE49-F238E27FC236}">
              <a16:creationId xmlns:a16="http://schemas.microsoft.com/office/drawing/2014/main" id="{296BFE8F-B844-404E-83F9-0F1C42DFE5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xdr:from>
      <xdr:col>0</xdr:col>
      <xdr:colOff>738188</xdr:colOff>
      <xdr:row>277</xdr:row>
      <xdr:rowOff>107157</xdr:rowOff>
    </xdr:from>
    <xdr:to>
      <xdr:col>7</xdr:col>
      <xdr:colOff>5670</xdr:colOff>
      <xdr:row>293</xdr:row>
      <xdr:rowOff>16402</xdr:rowOff>
    </xdr:to>
    <xdr:graphicFrame macro="">
      <xdr:nvGraphicFramePr>
        <xdr:cNvPr id="79" name="Diagram 78">
          <a:extLst>
            <a:ext uri="{FF2B5EF4-FFF2-40B4-BE49-F238E27FC236}">
              <a16:creationId xmlns:a16="http://schemas.microsoft.com/office/drawing/2014/main" id="{78F0DE7F-42BE-40DC-BDE7-7543BE916E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xdr:from>
      <xdr:col>7</xdr:col>
      <xdr:colOff>750094</xdr:colOff>
      <xdr:row>365</xdr:row>
      <xdr:rowOff>47626</xdr:rowOff>
    </xdr:from>
    <xdr:to>
      <xdr:col>14</xdr:col>
      <xdr:colOff>47625</xdr:colOff>
      <xdr:row>382</xdr:row>
      <xdr:rowOff>71437</xdr:rowOff>
    </xdr:to>
    <xdr:graphicFrame macro="">
      <xdr:nvGraphicFramePr>
        <xdr:cNvPr id="81" name="Diagram 80">
          <a:extLst>
            <a:ext uri="{FF2B5EF4-FFF2-40B4-BE49-F238E27FC236}">
              <a16:creationId xmlns:a16="http://schemas.microsoft.com/office/drawing/2014/main" id="{F79555B2-7E41-49C1-9985-ED1C2B1FFA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xdr:from>
      <xdr:col>7</xdr:col>
      <xdr:colOff>753269</xdr:colOff>
      <xdr:row>387</xdr:row>
      <xdr:rowOff>95250</xdr:rowOff>
    </xdr:from>
    <xdr:to>
      <xdr:col>14</xdr:col>
      <xdr:colOff>95250</xdr:colOff>
      <xdr:row>404</xdr:row>
      <xdr:rowOff>47624</xdr:rowOff>
    </xdr:to>
    <xdr:graphicFrame macro="">
      <xdr:nvGraphicFramePr>
        <xdr:cNvPr id="83" name="Diagram 82">
          <a:extLst>
            <a:ext uri="{FF2B5EF4-FFF2-40B4-BE49-F238E27FC236}">
              <a16:creationId xmlns:a16="http://schemas.microsoft.com/office/drawing/2014/main" id="{9A8A44A7-4695-4C5B-BA37-A67CFBD610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xdr:from>
      <xdr:col>0</xdr:col>
      <xdr:colOff>750094</xdr:colOff>
      <xdr:row>409</xdr:row>
      <xdr:rowOff>95251</xdr:rowOff>
    </xdr:from>
    <xdr:to>
      <xdr:col>7</xdr:col>
      <xdr:colOff>95250</xdr:colOff>
      <xdr:row>426</xdr:row>
      <xdr:rowOff>47625</xdr:rowOff>
    </xdr:to>
    <xdr:graphicFrame macro="">
      <xdr:nvGraphicFramePr>
        <xdr:cNvPr id="84" name="Diagram 83">
          <a:extLst>
            <a:ext uri="{FF2B5EF4-FFF2-40B4-BE49-F238E27FC236}">
              <a16:creationId xmlns:a16="http://schemas.microsoft.com/office/drawing/2014/main" id="{F4F243BE-D883-4393-9466-305949E4FD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xdr:from>
      <xdr:col>7</xdr:col>
      <xdr:colOff>726282</xdr:colOff>
      <xdr:row>409</xdr:row>
      <xdr:rowOff>71437</xdr:rowOff>
    </xdr:from>
    <xdr:to>
      <xdr:col>14</xdr:col>
      <xdr:colOff>68263</xdr:colOff>
      <xdr:row>426</xdr:row>
      <xdr:rowOff>23811</xdr:rowOff>
    </xdr:to>
    <xdr:graphicFrame macro="">
      <xdr:nvGraphicFramePr>
        <xdr:cNvPr id="85" name="Diagram 84">
          <a:extLst>
            <a:ext uri="{FF2B5EF4-FFF2-40B4-BE49-F238E27FC236}">
              <a16:creationId xmlns:a16="http://schemas.microsoft.com/office/drawing/2014/main" id="{AD33C597-1877-477C-9D47-8C6B2389821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xdr:from>
      <xdr:col>8</xdr:col>
      <xdr:colOff>26987</xdr:colOff>
      <xdr:row>430</xdr:row>
      <xdr:rowOff>68262</xdr:rowOff>
    </xdr:from>
    <xdr:to>
      <xdr:col>14</xdr:col>
      <xdr:colOff>71437</xdr:colOff>
      <xdr:row>446</xdr:row>
      <xdr:rowOff>83343</xdr:rowOff>
    </xdr:to>
    <xdr:graphicFrame macro="">
      <xdr:nvGraphicFramePr>
        <xdr:cNvPr id="87" name="Diagram 86">
          <a:extLst>
            <a:ext uri="{FF2B5EF4-FFF2-40B4-BE49-F238E27FC236}">
              <a16:creationId xmlns:a16="http://schemas.microsoft.com/office/drawing/2014/main" id="{D77F83BD-A4F5-4839-88CF-8F37028D0A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xdr:from>
      <xdr:col>15</xdr:col>
      <xdr:colOff>726282</xdr:colOff>
      <xdr:row>409</xdr:row>
      <xdr:rowOff>95250</xdr:rowOff>
    </xdr:from>
    <xdr:to>
      <xdr:col>22</xdr:col>
      <xdr:colOff>71438</xdr:colOff>
      <xdr:row>426</xdr:row>
      <xdr:rowOff>57149</xdr:rowOff>
    </xdr:to>
    <xdr:graphicFrame macro="">
      <xdr:nvGraphicFramePr>
        <xdr:cNvPr id="88" name="Diagram 87">
          <a:extLst>
            <a:ext uri="{FF2B5EF4-FFF2-40B4-BE49-F238E27FC236}">
              <a16:creationId xmlns:a16="http://schemas.microsoft.com/office/drawing/2014/main" id="{BF0FB677-75B6-4C72-9CCB-4D673BFECC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xdr:from>
      <xdr:col>7</xdr:col>
      <xdr:colOff>731837</xdr:colOff>
      <xdr:row>450</xdr:row>
      <xdr:rowOff>26988</xdr:rowOff>
    </xdr:from>
    <xdr:to>
      <xdr:col>14</xdr:col>
      <xdr:colOff>20637</xdr:colOff>
      <xdr:row>466</xdr:row>
      <xdr:rowOff>45244</xdr:rowOff>
    </xdr:to>
    <xdr:graphicFrame macro="">
      <xdr:nvGraphicFramePr>
        <xdr:cNvPr id="90" name="Diagram 89">
          <a:extLst>
            <a:ext uri="{FF2B5EF4-FFF2-40B4-BE49-F238E27FC236}">
              <a16:creationId xmlns:a16="http://schemas.microsoft.com/office/drawing/2014/main" id="{DC46DFA2-3434-4603-8469-F6E7605DA7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xdr:from>
      <xdr:col>8</xdr:col>
      <xdr:colOff>0</xdr:colOff>
      <xdr:row>470</xdr:row>
      <xdr:rowOff>47626</xdr:rowOff>
    </xdr:from>
    <xdr:to>
      <xdr:col>14</xdr:col>
      <xdr:colOff>35832</xdr:colOff>
      <xdr:row>485</xdr:row>
      <xdr:rowOff>151340</xdr:rowOff>
    </xdr:to>
    <xdr:graphicFrame macro="">
      <xdr:nvGraphicFramePr>
        <xdr:cNvPr id="92" name="Diagram 91">
          <a:extLst>
            <a:ext uri="{FF2B5EF4-FFF2-40B4-BE49-F238E27FC236}">
              <a16:creationId xmlns:a16="http://schemas.microsoft.com/office/drawing/2014/main" id="{2653A482-0A48-440A-8354-4E34F9D11F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xdr:from>
      <xdr:col>1</xdr:col>
      <xdr:colOff>23813</xdr:colOff>
      <xdr:row>491</xdr:row>
      <xdr:rowOff>107156</xdr:rowOff>
    </xdr:from>
    <xdr:to>
      <xdr:col>7</xdr:col>
      <xdr:colOff>50120</xdr:colOff>
      <xdr:row>507</xdr:row>
      <xdr:rowOff>32276</xdr:rowOff>
    </xdr:to>
    <xdr:graphicFrame macro="">
      <xdr:nvGraphicFramePr>
        <xdr:cNvPr id="93" name="Diagram 92">
          <a:extLst>
            <a:ext uri="{FF2B5EF4-FFF2-40B4-BE49-F238E27FC236}">
              <a16:creationId xmlns:a16="http://schemas.microsoft.com/office/drawing/2014/main" id="{BC5F035B-2660-4232-8353-1760EB5785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xdr:from>
      <xdr:col>8</xdr:col>
      <xdr:colOff>16783</xdr:colOff>
      <xdr:row>511</xdr:row>
      <xdr:rowOff>112031</xdr:rowOff>
    </xdr:from>
    <xdr:to>
      <xdr:col>14</xdr:col>
      <xdr:colOff>33565</xdr:colOff>
      <xdr:row>527</xdr:row>
      <xdr:rowOff>33975</xdr:rowOff>
    </xdr:to>
    <xdr:graphicFrame macro="">
      <xdr:nvGraphicFramePr>
        <xdr:cNvPr id="95" name="Diagram 94">
          <a:extLst>
            <a:ext uri="{FF2B5EF4-FFF2-40B4-BE49-F238E27FC236}">
              <a16:creationId xmlns:a16="http://schemas.microsoft.com/office/drawing/2014/main" id="{4C63B8C5-8244-436D-B48D-C4F2D64234E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twoCellAnchor>
    <xdr:from>
      <xdr:col>8</xdr:col>
      <xdr:colOff>36634</xdr:colOff>
      <xdr:row>533</xdr:row>
      <xdr:rowOff>102578</xdr:rowOff>
    </xdr:from>
    <xdr:to>
      <xdr:col>14</xdr:col>
      <xdr:colOff>53416</xdr:colOff>
      <xdr:row>549</xdr:row>
      <xdr:rowOff>24521</xdr:rowOff>
    </xdr:to>
    <xdr:graphicFrame macro="">
      <xdr:nvGraphicFramePr>
        <xdr:cNvPr id="97" name="Diagram 96">
          <a:extLst>
            <a:ext uri="{FF2B5EF4-FFF2-40B4-BE49-F238E27FC236}">
              <a16:creationId xmlns:a16="http://schemas.microsoft.com/office/drawing/2014/main" id="{E385425A-3876-4C62-92AB-8EE6AFE50F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8"/>
        </a:graphicData>
      </a:graphic>
    </xdr:graphicFrame>
    <xdr:clientData/>
  </xdr:twoCellAnchor>
  <xdr:twoCellAnchor>
    <xdr:from>
      <xdr:col>0</xdr:col>
      <xdr:colOff>734786</xdr:colOff>
      <xdr:row>558</xdr:row>
      <xdr:rowOff>122465</xdr:rowOff>
    </xdr:from>
    <xdr:to>
      <xdr:col>7</xdr:col>
      <xdr:colOff>2268</xdr:colOff>
      <xdr:row>574</xdr:row>
      <xdr:rowOff>30236</xdr:rowOff>
    </xdr:to>
    <xdr:graphicFrame macro="">
      <xdr:nvGraphicFramePr>
        <xdr:cNvPr id="98" name="Diagram 97">
          <a:extLst>
            <a:ext uri="{FF2B5EF4-FFF2-40B4-BE49-F238E27FC236}">
              <a16:creationId xmlns:a16="http://schemas.microsoft.com/office/drawing/2014/main" id="{CE74C5BB-9CEA-45EE-8D34-F1126167E0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9"/>
        </a:graphicData>
      </a:graphic>
    </xdr:graphicFrame>
    <xdr:clientData/>
  </xdr:twoCellAnchor>
  <xdr:twoCellAnchor>
    <xdr:from>
      <xdr:col>7</xdr:col>
      <xdr:colOff>707572</xdr:colOff>
      <xdr:row>558</xdr:row>
      <xdr:rowOff>68036</xdr:rowOff>
    </xdr:from>
    <xdr:to>
      <xdr:col>16</xdr:col>
      <xdr:colOff>717892</xdr:colOff>
      <xdr:row>581</xdr:row>
      <xdr:rowOff>52690</xdr:rowOff>
    </xdr:to>
    <xdr:graphicFrame macro="">
      <xdr:nvGraphicFramePr>
        <xdr:cNvPr id="99" name="Diagram 98">
          <a:extLst>
            <a:ext uri="{FF2B5EF4-FFF2-40B4-BE49-F238E27FC236}">
              <a16:creationId xmlns:a16="http://schemas.microsoft.com/office/drawing/2014/main" id="{A98CD8B7-E0BA-4BFA-804C-E2D1DB8CF9C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0"/>
        </a:graphicData>
      </a:graphic>
    </xdr:graphicFrame>
    <xdr:clientData/>
  </xdr:twoCellAnchor>
  <xdr:twoCellAnchor>
    <xdr:from>
      <xdr:col>17</xdr:col>
      <xdr:colOff>740835</xdr:colOff>
      <xdr:row>558</xdr:row>
      <xdr:rowOff>95249</xdr:rowOff>
    </xdr:from>
    <xdr:to>
      <xdr:col>25</xdr:col>
      <xdr:colOff>52917</xdr:colOff>
      <xdr:row>580</xdr:row>
      <xdr:rowOff>74083</xdr:rowOff>
    </xdr:to>
    <xdr:graphicFrame macro="">
      <xdr:nvGraphicFramePr>
        <xdr:cNvPr id="100" name="Diagram 99">
          <a:extLst>
            <a:ext uri="{FF2B5EF4-FFF2-40B4-BE49-F238E27FC236}">
              <a16:creationId xmlns:a16="http://schemas.microsoft.com/office/drawing/2014/main" id="{E11BAA41-773A-40E6-95A1-B5E183BA78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1"/>
        </a:graphicData>
      </a:graphic>
    </xdr:graphicFrame>
    <xdr:clientData/>
  </xdr:twoCellAnchor>
  <xdr:twoCellAnchor>
    <xdr:from>
      <xdr:col>7</xdr:col>
      <xdr:colOff>751417</xdr:colOff>
      <xdr:row>585</xdr:row>
      <xdr:rowOff>95250</xdr:rowOff>
    </xdr:from>
    <xdr:to>
      <xdr:col>14</xdr:col>
      <xdr:colOff>33867</xdr:colOff>
      <xdr:row>601</xdr:row>
      <xdr:rowOff>110332</xdr:rowOff>
    </xdr:to>
    <xdr:graphicFrame macro="">
      <xdr:nvGraphicFramePr>
        <xdr:cNvPr id="103" name="Diagram 102">
          <a:extLst>
            <a:ext uri="{FF2B5EF4-FFF2-40B4-BE49-F238E27FC236}">
              <a16:creationId xmlns:a16="http://schemas.microsoft.com/office/drawing/2014/main" id="{868F5230-1D10-4024-A167-90799E008E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2"/>
        </a:graphicData>
      </a:graphic>
    </xdr:graphicFrame>
    <xdr:clientData/>
  </xdr:twoCellAnchor>
  <xdr:twoCellAnchor>
    <xdr:from>
      <xdr:col>7</xdr:col>
      <xdr:colOff>751416</xdr:colOff>
      <xdr:row>605</xdr:row>
      <xdr:rowOff>84667</xdr:rowOff>
    </xdr:from>
    <xdr:to>
      <xdr:col>14</xdr:col>
      <xdr:colOff>33866</xdr:colOff>
      <xdr:row>621</xdr:row>
      <xdr:rowOff>99749</xdr:rowOff>
    </xdr:to>
    <xdr:graphicFrame macro="">
      <xdr:nvGraphicFramePr>
        <xdr:cNvPr id="105" name="Diagram 104">
          <a:extLst>
            <a:ext uri="{FF2B5EF4-FFF2-40B4-BE49-F238E27FC236}">
              <a16:creationId xmlns:a16="http://schemas.microsoft.com/office/drawing/2014/main" id="{912F1390-1486-4C34-8DA1-27A3FEB88B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3"/>
        </a:graphicData>
      </a:graphic>
    </xdr:graphicFrame>
    <xdr:clientData/>
  </xdr:twoCellAnchor>
  <xdr:twoCellAnchor>
    <xdr:from>
      <xdr:col>7</xdr:col>
      <xdr:colOff>730250</xdr:colOff>
      <xdr:row>625</xdr:row>
      <xdr:rowOff>74083</xdr:rowOff>
    </xdr:from>
    <xdr:to>
      <xdr:col>14</xdr:col>
      <xdr:colOff>12700</xdr:colOff>
      <xdr:row>641</xdr:row>
      <xdr:rowOff>89165</xdr:rowOff>
    </xdr:to>
    <xdr:graphicFrame macro="">
      <xdr:nvGraphicFramePr>
        <xdr:cNvPr id="107" name="Diagram 106">
          <a:extLst>
            <a:ext uri="{FF2B5EF4-FFF2-40B4-BE49-F238E27FC236}">
              <a16:creationId xmlns:a16="http://schemas.microsoft.com/office/drawing/2014/main" id="{DE35CC1B-8F66-4BFF-ABBB-325CEEDF58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4"/>
        </a:graphicData>
      </a:graphic>
    </xdr:graphicFrame>
    <xdr:clientData/>
  </xdr:twoCellAnchor>
  <xdr:twoCellAnchor>
    <xdr:from>
      <xdr:col>8</xdr:col>
      <xdr:colOff>10584</xdr:colOff>
      <xdr:row>645</xdr:row>
      <xdr:rowOff>116417</xdr:rowOff>
    </xdr:from>
    <xdr:to>
      <xdr:col>14</xdr:col>
      <xdr:colOff>55034</xdr:colOff>
      <xdr:row>661</xdr:row>
      <xdr:rowOff>131499</xdr:rowOff>
    </xdr:to>
    <xdr:graphicFrame macro="">
      <xdr:nvGraphicFramePr>
        <xdr:cNvPr id="109" name="Diagram 108">
          <a:extLst>
            <a:ext uri="{FF2B5EF4-FFF2-40B4-BE49-F238E27FC236}">
              <a16:creationId xmlns:a16="http://schemas.microsoft.com/office/drawing/2014/main" id="{34E1D0C0-D201-4CC4-9BDB-A44FAF28DF2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5"/>
        </a:graphicData>
      </a:graphic>
    </xdr:graphicFrame>
    <xdr:clientData/>
  </xdr:twoCellAnchor>
  <xdr:twoCellAnchor>
    <xdr:from>
      <xdr:col>7</xdr:col>
      <xdr:colOff>751417</xdr:colOff>
      <xdr:row>665</xdr:row>
      <xdr:rowOff>74084</xdr:rowOff>
    </xdr:from>
    <xdr:to>
      <xdr:col>14</xdr:col>
      <xdr:colOff>33867</xdr:colOff>
      <xdr:row>681</xdr:row>
      <xdr:rowOff>89166</xdr:rowOff>
    </xdr:to>
    <xdr:graphicFrame macro="">
      <xdr:nvGraphicFramePr>
        <xdr:cNvPr id="111" name="Diagram 110">
          <a:extLst>
            <a:ext uri="{FF2B5EF4-FFF2-40B4-BE49-F238E27FC236}">
              <a16:creationId xmlns:a16="http://schemas.microsoft.com/office/drawing/2014/main" id="{BA9B58B7-B6F3-4119-9C54-E10BADB161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6"/>
        </a:graphicData>
      </a:graphic>
    </xdr:graphicFrame>
    <xdr:clientData/>
  </xdr:twoCellAnchor>
  <xdr:twoCellAnchor>
    <xdr:from>
      <xdr:col>7</xdr:col>
      <xdr:colOff>730250</xdr:colOff>
      <xdr:row>685</xdr:row>
      <xdr:rowOff>105833</xdr:rowOff>
    </xdr:from>
    <xdr:to>
      <xdr:col>14</xdr:col>
      <xdr:colOff>12700</xdr:colOff>
      <xdr:row>701</xdr:row>
      <xdr:rowOff>120915</xdr:rowOff>
    </xdr:to>
    <xdr:graphicFrame macro="">
      <xdr:nvGraphicFramePr>
        <xdr:cNvPr id="113" name="Diagram 112">
          <a:extLst>
            <a:ext uri="{FF2B5EF4-FFF2-40B4-BE49-F238E27FC236}">
              <a16:creationId xmlns:a16="http://schemas.microsoft.com/office/drawing/2014/main" id="{635AC39E-92BE-4A2A-87C9-A384D32030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7"/>
        </a:graphicData>
      </a:graphic>
    </xdr:graphicFrame>
    <xdr:clientData/>
  </xdr:twoCellAnchor>
  <xdr:twoCellAnchor>
    <xdr:from>
      <xdr:col>7</xdr:col>
      <xdr:colOff>730250</xdr:colOff>
      <xdr:row>705</xdr:row>
      <xdr:rowOff>137583</xdr:rowOff>
    </xdr:from>
    <xdr:to>
      <xdr:col>14</xdr:col>
      <xdr:colOff>12700</xdr:colOff>
      <xdr:row>721</xdr:row>
      <xdr:rowOff>152665</xdr:rowOff>
    </xdr:to>
    <xdr:graphicFrame macro="">
      <xdr:nvGraphicFramePr>
        <xdr:cNvPr id="115" name="Diagram 114">
          <a:extLst>
            <a:ext uri="{FF2B5EF4-FFF2-40B4-BE49-F238E27FC236}">
              <a16:creationId xmlns:a16="http://schemas.microsoft.com/office/drawing/2014/main" id="{99DDC129-573C-4126-A77D-0C64236507E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8"/>
        </a:graphicData>
      </a:graphic>
    </xdr:graphicFrame>
    <xdr:clientData/>
  </xdr:twoCellAnchor>
  <xdr:twoCellAnchor>
    <xdr:from>
      <xdr:col>1</xdr:col>
      <xdr:colOff>0</xdr:colOff>
      <xdr:row>725</xdr:row>
      <xdr:rowOff>63500</xdr:rowOff>
    </xdr:from>
    <xdr:to>
      <xdr:col>7</xdr:col>
      <xdr:colOff>44450</xdr:colOff>
      <xdr:row>741</xdr:row>
      <xdr:rowOff>78582</xdr:rowOff>
    </xdr:to>
    <xdr:graphicFrame macro="">
      <xdr:nvGraphicFramePr>
        <xdr:cNvPr id="116" name="Diagram 115">
          <a:extLst>
            <a:ext uri="{FF2B5EF4-FFF2-40B4-BE49-F238E27FC236}">
              <a16:creationId xmlns:a16="http://schemas.microsoft.com/office/drawing/2014/main" id="{336ADF3B-E4AD-4591-B039-E2997C1103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9"/>
        </a:graphicData>
      </a:graphic>
    </xdr:graphicFrame>
    <xdr:clientData/>
  </xdr:twoCellAnchor>
  <xdr:twoCellAnchor>
    <xdr:from>
      <xdr:col>7</xdr:col>
      <xdr:colOff>740833</xdr:colOff>
      <xdr:row>745</xdr:row>
      <xdr:rowOff>74083</xdr:rowOff>
    </xdr:from>
    <xdr:to>
      <xdr:col>14</xdr:col>
      <xdr:colOff>23283</xdr:colOff>
      <xdr:row>761</xdr:row>
      <xdr:rowOff>89165</xdr:rowOff>
    </xdr:to>
    <xdr:graphicFrame macro="">
      <xdr:nvGraphicFramePr>
        <xdr:cNvPr id="118" name="Diagram 117">
          <a:extLst>
            <a:ext uri="{FF2B5EF4-FFF2-40B4-BE49-F238E27FC236}">
              <a16:creationId xmlns:a16="http://schemas.microsoft.com/office/drawing/2014/main" id="{25506FB5-F6B7-4AC3-A834-F2D5AF065D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0"/>
        </a:graphicData>
      </a:graphic>
    </xdr:graphicFrame>
    <xdr:clientData/>
  </xdr:twoCellAnchor>
  <xdr:twoCellAnchor>
    <xdr:from>
      <xdr:col>8</xdr:col>
      <xdr:colOff>0</xdr:colOff>
      <xdr:row>765</xdr:row>
      <xdr:rowOff>74084</xdr:rowOff>
    </xdr:from>
    <xdr:to>
      <xdr:col>14</xdr:col>
      <xdr:colOff>44450</xdr:colOff>
      <xdr:row>781</xdr:row>
      <xdr:rowOff>89166</xdr:rowOff>
    </xdr:to>
    <xdr:graphicFrame macro="">
      <xdr:nvGraphicFramePr>
        <xdr:cNvPr id="120" name="Diagram 119">
          <a:extLst>
            <a:ext uri="{FF2B5EF4-FFF2-40B4-BE49-F238E27FC236}">
              <a16:creationId xmlns:a16="http://schemas.microsoft.com/office/drawing/2014/main" id="{1334A40B-AC67-4B3B-ABFE-192DA378C7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1"/>
        </a:graphicData>
      </a:graphic>
    </xdr:graphicFrame>
    <xdr:clientData/>
  </xdr:twoCellAnchor>
  <xdr:twoCellAnchor>
    <xdr:from>
      <xdr:col>8</xdr:col>
      <xdr:colOff>10583</xdr:colOff>
      <xdr:row>785</xdr:row>
      <xdr:rowOff>42334</xdr:rowOff>
    </xdr:from>
    <xdr:to>
      <xdr:col>14</xdr:col>
      <xdr:colOff>55033</xdr:colOff>
      <xdr:row>801</xdr:row>
      <xdr:rowOff>57416</xdr:rowOff>
    </xdr:to>
    <xdr:graphicFrame macro="">
      <xdr:nvGraphicFramePr>
        <xdr:cNvPr id="122" name="Diagram 121">
          <a:extLst>
            <a:ext uri="{FF2B5EF4-FFF2-40B4-BE49-F238E27FC236}">
              <a16:creationId xmlns:a16="http://schemas.microsoft.com/office/drawing/2014/main" id="{22604CD6-12F3-44F3-9B42-628D6D737E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2"/>
        </a:graphicData>
      </a:graphic>
    </xdr:graphicFrame>
    <xdr:clientData/>
  </xdr:twoCellAnchor>
  <xdr:twoCellAnchor>
    <xdr:from>
      <xdr:col>7</xdr:col>
      <xdr:colOff>730250</xdr:colOff>
      <xdr:row>805</xdr:row>
      <xdr:rowOff>127001</xdr:rowOff>
    </xdr:from>
    <xdr:to>
      <xdr:col>13</xdr:col>
      <xdr:colOff>719667</xdr:colOff>
      <xdr:row>821</xdr:row>
      <xdr:rowOff>84667</xdr:rowOff>
    </xdr:to>
    <xdr:graphicFrame macro="">
      <xdr:nvGraphicFramePr>
        <xdr:cNvPr id="124" name="Diagram 123">
          <a:extLst>
            <a:ext uri="{FF2B5EF4-FFF2-40B4-BE49-F238E27FC236}">
              <a16:creationId xmlns:a16="http://schemas.microsoft.com/office/drawing/2014/main" id="{20C1B9DC-48E5-49FB-A8E8-057A4B16E7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3"/>
        </a:graphicData>
      </a:graphic>
    </xdr:graphicFrame>
    <xdr:clientData/>
  </xdr:twoCellAnchor>
  <xdr:twoCellAnchor>
    <xdr:from>
      <xdr:col>7</xdr:col>
      <xdr:colOff>730250</xdr:colOff>
      <xdr:row>826</xdr:row>
      <xdr:rowOff>84665</xdr:rowOff>
    </xdr:from>
    <xdr:to>
      <xdr:col>14</xdr:col>
      <xdr:colOff>42334</xdr:colOff>
      <xdr:row>841</xdr:row>
      <xdr:rowOff>148166</xdr:rowOff>
    </xdr:to>
    <xdr:graphicFrame macro="">
      <xdr:nvGraphicFramePr>
        <xdr:cNvPr id="126" name="Diagram 125">
          <a:extLst>
            <a:ext uri="{FF2B5EF4-FFF2-40B4-BE49-F238E27FC236}">
              <a16:creationId xmlns:a16="http://schemas.microsoft.com/office/drawing/2014/main" id="{D8BB13BC-735D-4374-8393-7483335724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4"/>
        </a:graphicData>
      </a:graphic>
    </xdr:graphicFrame>
    <xdr:clientData/>
  </xdr:twoCellAnchor>
  <xdr:twoCellAnchor>
    <xdr:from>
      <xdr:col>8</xdr:col>
      <xdr:colOff>21167</xdr:colOff>
      <xdr:row>846</xdr:row>
      <xdr:rowOff>116417</xdr:rowOff>
    </xdr:from>
    <xdr:to>
      <xdr:col>14</xdr:col>
      <xdr:colOff>10584</xdr:colOff>
      <xdr:row>862</xdr:row>
      <xdr:rowOff>74083</xdr:rowOff>
    </xdr:to>
    <xdr:graphicFrame macro="">
      <xdr:nvGraphicFramePr>
        <xdr:cNvPr id="128" name="Diagram 127">
          <a:extLst>
            <a:ext uri="{FF2B5EF4-FFF2-40B4-BE49-F238E27FC236}">
              <a16:creationId xmlns:a16="http://schemas.microsoft.com/office/drawing/2014/main" id="{6CA6994A-6165-4F10-A0FE-060554AB49F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5"/>
        </a:graphicData>
      </a:graphic>
    </xdr:graphicFrame>
    <xdr:clientData/>
  </xdr:twoCellAnchor>
  <xdr:twoCellAnchor>
    <xdr:from>
      <xdr:col>8</xdr:col>
      <xdr:colOff>10583</xdr:colOff>
      <xdr:row>866</xdr:row>
      <xdr:rowOff>84667</xdr:rowOff>
    </xdr:from>
    <xdr:to>
      <xdr:col>14</xdr:col>
      <xdr:colOff>0</xdr:colOff>
      <xdr:row>882</xdr:row>
      <xdr:rowOff>42333</xdr:rowOff>
    </xdr:to>
    <xdr:graphicFrame macro="">
      <xdr:nvGraphicFramePr>
        <xdr:cNvPr id="130" name="Diagram 129">
          <a:extLst>
            <a:ext uri="{FF2B5EF4-FFF2-40B4-BE49-F238E27FC236}">
              <a16:creationId xmlns:a16="http://schemas.microsoft.com/office/drawing/2014/main" id="{7FFC1931-99A1-4A1D-86B3-2DFB34C56B7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6"/>
        </a:graphicData>
      </a:graphic>
    </xdr:graphicFrame>
    <xdr:clientData/>
  </xdr:twoCellAnchor>
  <xdr:twoCellAnchor>
    <xdr:from>
      <xdr:col>8</xdr:col>
      <xdr:colOff>21167</xdr:colOff>
      <xdr:row>886</xdr:row>
      <xdr:rowOff>84666</xdr:rowOff>
    </xdr:from>
    <xdr:to>
      <xdr:col>14</xdr:col>
      <xdr:colOff>10584</xdr:colOff>
      <xdr:row>902</xdr:row>
      <xdr:rowOff>42332</xdr:rowOff>
    </xdr:to>
    <xdr:graphicFrame macro="">
      <xdr:nvGraphicFramePr>
        <xdr:cNvPr id="132" name="Diagram 131">
          <a:extLst>
            <a:ext uri="{FF2B5EF4-FFF2-40B4-BE49-F238E27FC236}">
              <a16:creationId xmlns:a16="http://schemas.microsoft.com/office/drawing/2014/main" id="{43F5736A-FC68-4972-B97D-8C1D917B287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7"/>
        </a:graphicData>
      </a:graphic>
    </xdr:graphicFrame>
    <xdr:clientData/>
  </xdr:twoCellAnchor>
  <xdr:twoCellAnchor>
    <xdr:from>
      <xdr:col>8</xdr:col>
      <xdr:colOff>21168</xdr:colOff>
      <xdr:row>5</xdr:row>
      <xdr:rowOff>84666</xdr:rowOff>
    </xdr:from>
    <xdr:to>
      <xdr:col>13</xdr:col>
      <xdr:colOff>556971</xdr:colOff>
      <xdr:row>18</xdr:row>
      <xdr:rowOff>32289</xdr:rowOff>
    </xdr:to>
    <xdr:graphicFrame macro="">
      <xdr:nvGraphicFramePr>
        <xdr:cNvPr id="133" name="Diagram 2">
          <a:extLst>
            <a:ext uri="{FF2B5EF4-FFF2-40B4-BE49-F238E27FC236}">
              <a16:creationId xmlns:a16="http://schemas.microsoft.com/office/drawing/2014/main" id="{16589FAD-0EBA-45F9-9405-EBBAFAE2C6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8"/>
        </a:graphicData>
      </a:graphic>
    </xdr:graphicFrame>
    <xdr:clientData/>
  </xdr:twoCellAnchor>
  <xdr:twoCellAnchor>
    <xdr:from>
      <xdr:col>0</xdr:col>
      <xdr:colOff>746127</xdr:colOff>
      <xdr:row>23</xdr:row>
      <xdr:rowOff>148167</xdr:rowOff>
    </xdr:from>
    <xdr:to>
      <xdr:col>8</xdr:col>
      <xdr:colOff>646340</xdr:colOff>
      <xdr:row>43</xdr:row>
      <xdr:rowOff>42523</xdr:rowOff>
    </xdr:to>
    <xdr:graphicFrame macro="">
      <xdr:nvGraphicFramePr>
        <xdr:cNvPr id="134" name="Diagram 133">
          <a:extLst>
            <a:ext uri="{FF2B5EF4-FFF2-40B4-BE49-F238E27FC236}">
              <a16:creationId xmlns:a16="http://schemas.microsoft.com/office/drawing/2014/main" id="{8355B3E6-2A10-4F5F-BA0C-AC474E2220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9"/>
        </a:graphicData>
      </a:graphic>
    </xdr:graphicFrame>
    <xdr:clientData/>
  </xdr:twoCellAnchor>
  <xdr:twoCellAnchor>
    <xdr:from>
      <xdr:col>22</xdr:col>
      <xdr:colOff>11906</xdr:colOff>
      <xdr:row>210</xdr:row>
      <xdr:rowOff>23812</xdr:rowOff>
    </xdr:from>
    <xdr:to>
      <xdr:col>27</xdr:col>
      <xdr:colOff>751682</xdr:colOff>
      <xdr:row>225</xdr:row>
      <xdr:rowOff>136844</xdr:rowOff>
    </xdr:to>
    <xdr:graphicFrame macro="">
      <xdr:nvGraphicFramePr>
        <xdr:cNvPr id="136" name="Diagram 2">
          <a:extLst>
            <a:ext uri="{FF2B5EF4-FFF2-40B4-BE49-F238E27FC236}">
              <a16:creationId xmlns:a16="http://schemas.microsoft.com/office/drawing/2014/main" id="{28C81ECB-1467-4B2B-B7C5-59FF134BF1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0"/>
        </a:graphicData>
      </a:graphic>
    </xdr:graphicFrame>
    <xdr:clientData/>
  </xdr:twoCellAnchor>
  <xdr:twoCellAnchor>
    <xdr:from>
      <xdr:col>0</xdr:col>
      <xdr:colOff>748393</xdr:colOff>
      <xdr:row>48</xdr:row>
      <xdr:rowOff>27215</xdr:rowOff>
    </xdr:from>
    <xdr:to>
      <xdr:col>6</xdr:col>
      <xdr:colOff>708479</xdr:colOff>
      <xdr:row>62</xdr:row>
      <xdr:rowOff>150132</xdr:rowOff>
    </xdr:to>
    <xdr:graphicFrame macro="">
      <xdr:nvGraphicFramePr>
        <xdr:cNvPr id="137" name="Diagram 6">
          <a:extLst>
            <a:ext uri="{FF2B5EF4-FFF2-40B4-BE49-F238E27FC236}">
              <a16:creationId xmlns:a16="http://schemas.microsoft.com/office/drawing/2014/main" id="{1CCC2E63-6D61-465B-B0F4-F9ABE5C5E9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1"/>
        </a:graphicData>
      </a:graphic>
    </xdr:graphicFrame>
    <xdr:clientData/>
  </xdr:twoCellAnchor>
  <xdr:twoCellAnchor>
    <xdr:from>
      <xdr:col>15</xdr:col>
      <xdr:colOff>0</xdr:colOff>
      <xdr:row>48</xdr:row>
      <xdr:rowOff>0</xdr:rowOff>
    </xdr:from>
    <xdr:to>
      <xdr:col>21</xdr:col>
      <xdr:colOff>20615</xdr:colOff>
      <xdr:row>62</xdr:row>
      <xdr:rowOff>128816</xdr:rowOff>
    </xdr:to>
    <xdr:graphicFrame macro="">
      <xdr:nvGraphicFramePr>
        <xdr:cNvPr id="138" name="Diagram 6">
          <a:extLst>
            <a:ext uri="{FF2B5EF4-FFF2-40B4-BE49-F238E27FC236}">
              <a16:creationId xmlns:a16="http://schemas.microsoft.com/office/drawing/2014/main" id="{61959FBF-AAF5-47EE-BF04-927E160A11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2"/>
        </a:graphicData>
      </a:graphic>
    </xdr:graphicFrame>
    <xdr:clientData/>
  </xdr:twoCellAnchor>
  <xdr:twoCellAnchor>
    <xdr:from>
      <xdr:col>1</xdr:col>
      <xdr:colOff>0</xdr:colOff>
      <xdr:row>69</xdr:row>
      <xdr:rowOff>0</xdr:rowOff>
    </xdr:from>
    <xdr:to>
      <xdr:col>7</xdr:col>
      <xdr:colOff>37937</xdr:colOff>
      <xdr:row>84</xdr:row>
      <xdr:rowOff>85147</xdr:rowOff>
    </xdr:to>
    <xdr:graphicFrame macro="">
      <xdr:nvGraphicFramePr>
        <xdr:cNvPr id="139" name="Diagram 6">
          <a:extLst>
            <a:ext uri="{FF2B5EF4-FFF2-40B4-BE49-F238E27FC236}">
              <a16:creationId xmlns:a16="http://schemas.microsoft.com/office/drawing/2014/main" id="{B5306969-8E53-47A6-9ED2-2BDE276B5EE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3"/>
        </a:graphicData>
      </a:graphic>
    </xdr:graphicFrame>
    <xdr:clientData/>
  </xdr:twoCellAnchor>
  <xdr:twoCellAnchor>
    <xdr:from>
      <xdr:col>15</xdr:col>
      <xdr:colOff>0</xdr:colOff>
      <xdr:row>70</xdr:row>
      <xdr:rowOff>0</xdr:rowOff>
    </xdr:from>
    <xdr:to>
      <xdr:col>21</xdr:col>
      <xdr:colOff>52367</xdr:colOff>
      <xdr:row>85</xdr:row>
      <xdr:rowOff>69891</xdr:rowOff>
    </xdr:to>
    <xdr:graphicFrame macro="">
      <xdr:nvGraphicFramePr>
        <xdr:cNvPr id="140" name="Diagram 6">
          <a:extLst>
            <a:ext uri="{FF2B5EF4-FFF2-40B4-BE49-F238E27FC236}">
              <a16:creationId xmlns:a16="http://schemas.microsoft.com/office/drawing/2014/main" id="{F637DA51-DFF2-4AD0-B195-DBE0CE215A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4"/>
        </a:graphicData>
      </a:graphic>
    </xdr:graphicFrame>
    <xdr:clientData/>
  </xdr:twoCellAnchor>
  <xdr:twoCellAnchor>
    <xdr:from>
      <xdr:col>1</xdr:col>
      <xdr:colOff>0</xdr:colOff>
      <xdr:row>90</xdr:row>
      <xdr:rowOff>0</xdr:rowOff>
    </xdr:from>
    <xdr:to>
      <xdr:col>7</xdr:col>
      <xdr:colOff>35669</xdr:colOff>
      <xdr:row>105</xdr:row>
      <xdr:rowOff>85147</xdr:rowOff>
    </xdr:to>
    <xdr:graphicFrame macro="">
      <xdr:nvGraphicFramePr>
        <xdr:cNvPr id="141" name="Diagram 140">
          <a:extLst>
            <a:ext uri="{FF2B5EF4-FFF2-40B4-BE49-F238E27FC236}">
              <a16:creationId xmlns:a16="http://schemas.microsoft.com/office/drawing/2014/main" id="{560892D8-B996-40A0-90F8-B0C5B807A6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5"/>
        </a:graphicData>
      </a:graphic>
    </xdr:graphicFrame>
    <xdr:clientData/>
  </xdr:twoCellAnchor>
  <xdr:twoCellAnchor>
    <xdr:from>
      <xdr:col>15</xdr:col>
      <xdr:colOff>0</xdr:colOff>
      <xdr:row>90</xdr:row>
      <xdr:rowOff>0</xdr:rowOff>
    </xdr:from>
    <xdr:to>
      <xdr:col>21</xdr:col>
      <xdr:colOff>54635</xdr:colOff>
      <xdr:row>105</xdr:row>
      <xdr:rowOff>69891</xdr:rowOff>
    </xdr:to>
    <xdr:graphicFrame macro="">
      <xdr:nvGraphicFramePr>
        <xdr:cNvPr id="142" name="Diagram 6">
          <a:extLst>
            <a:ext uri="{FF2B5EF4-FFF2-40B4-BE49-F238E27FC236}">
              <a16:creationId xmlns:a16="http://schemas.microsoft.com/office/drawing/2014/main" id="{EFD610C6-3A41-426A-9A6D-02E189DC7D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6"/>
        </a:graphicData>
      </a:graphic>
    </xdr:graphicFrame>
    <xdr:clientData/>
  </xdr:twoCellAnchor>
  <xdr:twoCellAnchor>
    <xdr:from>
      <xdr:col>1</xdr:col>
      <xdr:colOff>0</xdr:colOff>
      <xdr:row>110</xdr:row>
      <xdr:rowOff>0</xdr:rowOff>
    </xdr:from>
    <xdr:to>
      <xdr:col>7</xdr:col>
      <xdr:colOff>37937</xdr:colOff>
      <xdr:row>125</xdr:row>
      <xdr:rowOff>85147</xdr:rowOff>
    </xdr:to>
    <xdr:graphicFrame macro="">
      <xdr:nvGraphicFramePr>
        <xdr:cNvPr id="143" name="Diagram 6">
          <a:extLst>
            <a:ext uri="{FF2B5EF4-FFF2-40B4-BE49-F238E27FC236}">
              <a16:creationId xmlns:a16="http://schemas.microsoft.com/office/drawing/2014/main" id="{0D010FBF-D31B-40DF-BFD3-74341419AF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7"/>
        </a:graphicData>
      </a:graphic>
    </xdr:graphicFrame>
    <xdr:clientData/>
  </xdr:twoCellAnchor>
  <xdr:twoCellAnchor>
    <xdr:from>
      <xdr:col>15</xdr:col>
      <xdr:colOff>0</xdr:colOff>
      <xdr:row>110</xdr:row>
      <xdr:rowOff>0</xdr:rowOff>
    </xdr:from>
    <xdr:to>
      <xdr:col>21</xdr:col>
      <xdr:colOff>54635</xdr:colOff>
      <xdr:row>125</xdr:row>
      <xdr:rowOff>69891</xdr:rowOff>
    </xdr:to>
    <xdr:graphicFrame macro="">
      <xdr:nvGraphicFramePr>
        <xdr:cNvPr id="144" name="Diagram 6">
          <a:extLst>
            <a:ext uri="{FF2B5EF4-FFF2-40B4-BE49-F238E27FC236}">
              <a16:creationId xmlns:a16="http://schemas.microsoft.com/office/drawing/2014/main" id="{DB9E2E83-C06A-4C89-B669-A987B1F741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8"/>
        </a:graphicData>
      </a:graphic>
    </xdr:graphicFrame>
    <xdr:clientData/>
  </xdr:twoCellAnchor>
  <xdr:twoCellAnchor>
    <xdr:from>
      <xdr:col>1</xdr:col>
      <xdr:colOff>0</xdr:colOff>
      <xdr:row>130</xdr:row>
      <xdr:rowOff>0</xdr:rowOff>
    </xdr:from>
    <xdr:to>
      <xdr:col>7</xdr:col>
      <xdr:colOff>37937</xdr:colOff>
      <xdr:row>145</xdr:row>
      <xdr:rowOff>85147</xdr:rowOff>
    </xdr:to>
    <xdr:graphicFrame macro="">
      <xdr:nvGraphicFramePr>
        <xdr:cNvPr id="145" name="Diagram 6">
          <a:extLst>
            <a:ext uri="{FF2B5EF4-FFF2-40B4-BE49-F238E27FC236}">
              <a16:creationId xmlns:a16="http://schemas.microsoft.com/office/drawing/2014/main" id="{D6FABDC5-4AA6-4DEC-B008-56EEDB4284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9"/>
        </a:graphicData>
      </a:graphic>
    </xdr:graphicFrame>
    <xdr:clientData/>
  </xdr:twoCellAnchor>
  <xdr:twoCellAnchor>
    <xdr:from>
      <xdr:col>15</xdr:col>
      <xdr:colOff>0</xdr:colOff>
      <xdr:row>131</xdr:row>
      <xdr:rowOff>0</xdr:rowOff>
    </xdr:from>
    <xdr:to>
      <xdr:col>21</xdr:col>
      <xdr:colOff>54635</xdr:colOff>
      <xdr:row>146</xdr:row>
      <xdr:rowOff>69891</xdr:rowOff>
    </xdr:to>
    <xdr:graphicFrame macro="">
      <xdr:nvGraphicFramePr>
        <xdr:cNvPr id="146" name="Diagram 6">
          <a:extLst>
            <a:ext uri="{FF2B5EF4-FFF2-40B4-BE49-F238E27FC236}">
              <a16:creationId xmlns:a16="http://schemas.microsoft.com/office/drawing/2014/main" id="{73132659-F088-4E8E-9DED-E27270E882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0"/>
        </a:graphicData>
      </a:graphic>
    </xdr:graphicFrame>
    <xdr:clientData/>
  </xdr:twoCellAnchor>
  <xdr:twoCellAnchor>
    <xdr:from>
      <xdr:col>1</xdr:col>
      <xdr:colOff>0</xdr:colOff>
      <xdr:row>150</xdr:row>
      <xdr:rowOff>0</xdr:rowOff>
    </xdr:from>
    <xdr:to>
      <xdr:col>7</xdr:col>
      <xdr:colOff>35669</xdr:colOff>
      <xdr:row>165</xdr:row>
      <xdr:rowOff>85147</xdr:rowOff>
    </xdr:to>
    <xdr:graphicFrame macro="">
      <xdr:nvGraphicFramePr>
        <xdr:cNvPr id="147" name="Diagram 6">
          <a:extLst>
            <a:ext uri="{FF2B5EF4-FFF2-40B4-BE49-F238E27FC236}">
              <a16:creationId xmlns:a16="http://schemas.microsoft.com/office/drawing/2014/main" id="{876D7184-5201-49FB-B23E-791A9AFCB2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1"/>
        </a:graphicData>
      </a:graphic>
    </xdr:graphicFrame>
    <xdr:clientData/>
  </xdr:twoCellAnchor>
  <xdr:twoCellAnchor>
    <xdr:from>
      <xdr:col>15</xdr:col>
      <xdr:colOff>0</xdr:colOff>
      <xdr:row>150</xdr:row>
      <xdr:rowOff>68035</xdr:rowOff>
    </xdr:from>
    <xdr:to>
      <xdr:col>21</xdr:col>
      <xdr:colOff>54635</xdr:colOff>
      <xdr:row>165</xdr:row>
      <xdr:rowOff>137926</xdr:rowOff>
    </xdr:to>
    <xdr:graphicFrame macro="">
      <xdr:nvGraphicFramePr>
        <xdr:cNvPr id="148" name="Diagram 6">
          <a:extLst>
            <a:ext uri="{FF2B5EF4-FFF2-40B4-BE49-F238E27FC236}">
              <a16:creationId xmlns:a16="http://schemas.microsoft.com/office/drawing/2014/main" id="{5E089583-0DA0-4B61-A1C0-C7AD938DAD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2"/>
        </a:graphicData>
      </a:graphic>
    </xdr:graphicFrame>
    <xdr:clientData/>
  </xdr:twoCellAnchor>
  <xdr:twoCellAnchor>
    <xdr:from>
      <xdr:col>1</xdr:col>
      <xdr:colOff>0</xdr:colOff>
      <xdr:row>170</xdr:row>
      <xdr:rowOff>0</xdr:rowOff>
    </xdr:from>
    <xdr:to>
      <xdr:col>7</xdr:col>
      <xdr:colOff>29319</xdr:colOff>
      <xdr:row>185</xdr:row>
      <xdr:rowOff>116103</xdr:rowOff>
    </xdr:to>
    <xdr:graphicFrame macro="">
      <xdr:nvGraphicFramePr>
        <xdr:cNvPr id="149" name="Diagram 6">
          <a:extLst>
            <a:ext uri="{FF2B5EF4-FFF2-40B4-BE49-F238E27FC236}">
              <a16:creationId xmlns:a16="http://schemas.microsoft.com/office/drawing/2014/main" id="{58F5222A-0E37-4D2A-B37F-12B286FAEC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3"/>
        </a:graphicData>
      </a:graphic>
    </xdr:graphicFrame>
    <xdr:clientData/>
  </xdr:twoCellAnchor>
  <xdr:twoCellAnchor>
    <xdr:from>
      <xdr:col>15</xdr:col>
      <xdr:colOff>0</xdr:colOff>
      <xdr:row>170</xdr:row>
      <xdr:rowOff>0</xdr:rowOff>
    </xdr:from>
    <xdr:to>
      <xdr:col>21</xdr:col>
      <xdr:colOff>57810</xdr:colOff>
      <xdr:row>185</xdr:row>
      <xdr:rowOff>66716</xdr:rowOff>
    </xdr:to>
    <xdr:graphicFrame macro="">
      <xdr:nvGraphicFramePr>
        <xdr:cNvPr id="150" name="Diagram 6">
          <a:extLst>
            <a:ext uri="{FF2B5EF4-FFF2-40B4-BE49-F238E27FC236}">
              <a16:creationId xmlns:a16="http://schemas.microsoft.com/office/drawing/2014/main" id="{D7415344-097D-45AD-A1AA-B03E6A08586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4"/>
        </a:graphicData>
      </a:graphic>
    </xdr:graphicFrame>
    <xdr:clientData/>
  </xdr:twoCellAnchor>
  <xdr:twoCellAnchor>
    <xdr:from>
      <xdr:col>1</xdr:col>
      <xdr:colOff>0</xdr:colOff>
      <xdr:row>190</xdr:row>
      <xdr:rowOff>0</xdr:rowOff>
    </xdr:from>
    <xdr:to>
      <xdr:col>7</xdr:col>
      <xdr:colOff>29319</xdr:colOff>
      <xdr:row>205</xdr:row>
      <xdr:rowOff>104197</xdr:rowOff>
    </xdr:to>
    <xdr:graphicFrame macro="">
      <xdr:nvGraphicFramePr>
        <xdr:cNvPr id="153" name="Diagram 152">
          <a:extLst>
            <a:ext uri="{FF2B5EF4-FFF2-40B4-BE49-F238E27FC236}">
              <a16:creationId xmlns:a16="http://schemas.microsoft.com/office/drawing/2014/main" id="{7EA562A7-4B2C-49A9-9DA2-571F4D84F5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5"/>
        </a:graphicData>
      </a:graphic>
    </xdr:graphicFrame>
    <xdr:clientData/>
  </xdr:twoCellAnchor>
  <xdr:twoCellAnchor>
    <xdr:from>
      <xdr:col>15</xdr:col>
      <xdr:colOff>0</xdr:colOff>
      <xdr:row>191</xdr:row>
      <xdr:rowOff>0</xdr:rowOff>
    </xdr:from>
    <xdr:to>
      <xdr:col>21</xdr:col>
      <xdr:colOff>54635</xdr:colOff>
      <xdr:row>206</xdr:row>
      <xdr:rowOff>60366</xdr:rowOff>
    </xdr:to>
    <xdr:graphicFrame macro="">
      <xdr:nvGraphicFramePr>
        <xdr:cNvPr id="154" name="Diagram 6">
          <a:extLst>
            <a:ext uri="{FF2B5EF4-FFF2-40B4-BE49-F238E27FC236}">
              <a16:creationId xmlns:a16="http://schemas.microsoft.com/office/drawing/2014/main" id="{6B0001C0-CD56-4DD2-8AA9-9DFB05EAB1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6"/>
        </a:graphicData>
      </a:graphic>
    </xdr:graphicFrame>
    <xdr:clientData/>
  </xdr:twoCellAnchor>
  <xdr:twoCellAnchor>
    <xdr:from>
      <xdr:col>1</xdr:col>
      <xdr:colOff>0</xdr:colOff>
      <xdr:row>210</xdr:row>
      <xdr:rowOff>0</xdr:rowOff>
    </xdr:from>
    <xdr:to>
      <xdr:col>7</xdr:col>
      <xdr:colOff>26144</xdr:colOff>
      <xdr:row>225</xdr:row>
      <xdr:rowOff>107373</xdr:rowOff>
    </xdr:to>
    <xdr:graphicFrame macro="">
      <xdr:nvGraphicFramePr>
        <xdr:cNvPr id="155" name="Diagram 154">
          <a:extLst>
            <a:ext uri="{FF2B5EF4-FFF2-40B4-BE49-F238E27FC236}">
              <a16:creationId xmlns:a16="http://schemas.microsoft.com/office/drawing/2014/main" id="{B3C6873F-107B-4938-99AC-D8EE0A9AD0F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7"/>
        </a:graphicData>
      </a:graphic>
    </xdr:graphicFrame>
    <xdr:clientData/>
  </xdr:twoCellAnchor>
  <xdr:twoCellAnchor>
    <xdr:from>
      <xdr:col>15</xdr:col>
      <xdr:colOff>0</xdr:colOff>
      <xdr:row>210</xdr:row>
      <xdr:rowOff>0</xdr:rowOff>
    </xdr:from>
    <xdr:to>
      <xdr:col>21</xdr:col>
      <xdr:colOff>54635</xdr:colOff>
      <xdr:row>225</xdr:row>
      <xdr:rowOff>60366</xdr:rowOff>
    </xdr:to>
    <xdr:graphicFrame macro="">
      <xdr:nvGraphicFramePr>
        <xdr:cNvPr id="156" name="Diagram 6">
          <a:extLst>
            <a:ext uri="{FF2B5EF4-FFF2-40B4-BE49-F238E27FC236}">
              <a16:creationId xmlns:a16="http://schemas.microsoft.com/office/drawing/2014/main" id="{363D3A3C-7C66-4E04-A9C9-BA6BEC75B4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8"/>
        </a:graphicData>
      </a:graphic>
    </xdr:graphicFrame>
    <xdr:clientData/>
  </xdr:twoCellAnchor>
  <xdr:twoCellAnchor>
    <xdr:from>
      <xdr:col>1</xdr:col>
      <xdr:colOff>0</xdr:colOff>
      <xdr:row>230</xdr:row>
      <xdr:rowOff>0</xdr:rowOff>
    </xdr:from>
    <xdr:to>
      <xdr:col>7</xdr:col>
      <xdr:colOff>29319</xdr:colOff>
      <xdr:row>245</xdr:row>
      <xdr:rowOff>120979</xdr:rowOff>
    </xdr:to>
    <xdr:graphicFrame macro="">
      <xdr:nvGraphicFramePr>
        <xdr:cNvPr id="157" name="Diagram 156">
          <a:extLst>
            <a:ext uri="{FF2B5EF4-FFF2-40B4-BE49-F238E27FC236}">
              <a16:creationId xmlns:a16="http://schemas.microsoft.com/office/drawing/2014/main" id="{CC1FCA86-7ECA-4294-9F63-87D8CEF99D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9"/>
        </a:graphicData>
      </a:graphic>
    </xdr:graphicFrame>
    <xdr:clientData/>
  </xdr:twoCellAnchor>
  <xdr:twoCellAnchor>
    <xdr:from>
      <xdr:col>8</xdr:col>
      <xdr:colOff>0</xdr:colOff>
      <xdr:row>250</xdr:row>
      <xdr:rowOff>0</xdr:rowOff>
    </xdr:from>
    <xdr:to>
      <xdr:col>17</xdr:col>
      <xdr:colOff>32545</xdr:colOff>
      <xdr:row>273</xdr:row>
      <xdr:rowOff>11906</xdr:rowOff>
    </xdr:to>
    <xdr:graphicFrame macro="">
      <xdr:nvGraphicFramePr>
        <xdr:cNvPr id="158" name="Diagram 157">
          <a:extLst>
            <a:ext uri="{FF2B5EF4-FFF2-40B4-BE49-F238E27FC236}">
              <a16:creationId xmlns:a16="http://schemas.microsoft.com/office/drawing/2014/main" id="{FDD30831-0C2F-4FAD-AC16-72838E1CAF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0"/>
        </a:graphicData>
      </a:graphic>
    </xdr:graphicFrame>
    <xdr:clientData/>
  </xdr:twoCellAnchor>
  <xdr:twoCellAnchor>
    <xdr:from>
      <xdr:col>8</xdr:col>
      <xdr:colOff>0</xdr:colOff>
      <xdr:row>277</xdr:row>
      <xdr:rowOff>0</xdr:rowOff>
    </xdr:from>
    <xdr:to>
      <xdr:col>17</xdr:col>
      <xdr:colOff>35720</xdr:colOff>
      <xdr:row>300</xdr:row>
      <xdr:rowOff>8730</xdr:rowOff>
    </xdr:to>
    <xdr:graphicFrame macro="">
      <xdr:nvGraphicFramePr>
        <xdr:cNvPr id="159" name="Diagram 158">
          <a:extLst>
            <a:ext uri="{FF2B5EF4-FFF2-40B4-BE49-F238E27FC236}">
              <a16:creationId xmlns:a16="http://schemas.microsoft.com/office/drawing/2014/main" id="{AA297F39-DE2A-475C-ADFB-0E7EBE37B5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1"/>
        </a:graphicData>
      </a:graphic>
    </xdr:graphicFrame>
    <xdr:clientData/>
  </xdr:twoCellAnchor>
  <xdr:twoCellAnchor>
    <xdr:from>
      <xdr:col>1</xdr:col>
      <xdr:colOff>0</xdr:colOff>
      <xdr:row>305</xdr:row>
      <xdr:rowOff>0</xdr:rowOff>
    </xdr:from>
    <xdr:to>
      <xdr:col>7</xdr:col>
      <xdr:colOff>0</xdr:colOff>
      <xdr:row>320</xdr:row>
      <xdr:rowOff>73818</xdr:rowOff>
    </xdr:to>
    <xdr:graphicFrame macro="">
      <xdr:nvGraphicFramePr>
        <xdr:cNvPr id="160" name="Diagram 159">
          <a:extLst>
            <a:ext uri="{FF2B5EF4-FFF2-40B4-BE49-F238E27FC236}">
              <a16:creationId xmlns:a16="http://schemas.microsoft.com/office/drawing/2014/main" id="{53CBF4DC-F1E0-4847-A0D6-0640BAEBFCF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2"/>
        </a:graphicData>
      </a:graphic>
    </xdr:graphicFrame>
    <xdr:clientData/>
  </xdr:twoCellAnchor>
  <xdr:twoCellAnchor>
    <xdr:from>
      <xdr:col>1</xdr:col>
      <xdr:colOff>0</xdr:colOff>
      <xdr:row>325</xdr:row>
      <xdr:rowOff>0</xdr:rowOff>
    </xdr:from>
    <xdr:to>
      <xdr:col>7</xdr:col>
      <xdr:colOff>9525</xdr:colOff>
      <xdr:row>340</xdr:row>
      <xdr:rowOff>89693</xdr:rowOff>
    </xdr:to>
    <xdr:graphicFrame macro="">
      <xdr:nvGraphicFramePr>
        <xdr:cNvPr id="161" name="Diagram 160">
          <a:extLst>
            <a:ext uri="{FF2B5EF4-FFF2-40B4-BE49-F238E27FC236}">
              <a16:creationId xmlns:a16="http://schemas.microsoft.com/office/drawing/2014/main" id="{3DEB2F6E-3343-401D-B330-090549508E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3"/>
        </a:graphicData>
      </a:graphic>
    </xdr:graphicFrame>
    <xdr:clientData/>
  </xdr:twoCellAnchor>
  <xdr:twoCellAnchor>
    <xdr:from>
      <xdr:col>1</xdr:col>
      <xdr:colOff>0</xdr:colOff>
      <xdr:row>365</xdr:row>
      <xdr:rowOff>0</xdr:rowOff>
    </xdr:from>
    <xdr:to>
      <xdr:col>7</xdr:col>
      <xdr:colOff>171448</xdr:colOff>
      <xdr:row>382</xdr:row>
      <xdr:rowOff>126207</xdr:rowOff>
    </xdr:to>
    <xdr:graphicFrame macro="">
      <xdr:nvGraphicFramePr>
        <xdr:cNvPr id="162" name="Diagram 161">
          <a:extLst>
            <a:ext uri="{FF2B5EF4-FFF2-40B4-BE49-F238E27FC236}">
              <a16:creationId xmlns:a16="http://schemas.microsoft.com/office/drawing/2014/main" id="{FBFE575B-CC44-464A-A382-7A602A6515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4"/>
        </a:graphicData>
      </a:graphic>
    </xdr:graphicFrame>
    <xdr:clientData/>
  </xdr:twoCellAnchor>
  <xdr:twoCellAnchor>
    <xdr:from>
      <xdr:col>1</xdr:col>
      <xdr:colOff>0</xdr:colOff>
      <xdr:row>387</xdr:row>
      <xdr:rowOff>0</xdr:rowOff>
    </xdr:from>
    <xdr:to>
      <xdr:col>6</xdr:col>
      <xdr:colOff>723106</xdr:colOff>
      <xdr:row>404</xdr:row>
      <xdr:rowOff>95250</xdr:rowOff>
    </xdr:to>
    <xdr:graphicFrame macro="">
      <xdr:nvGraphicFramePr>
        <xdr:cNvPr id="163" name="Diagram 162">
          <a:extLst>
            <a:ext uri="{FF2B5EF4-FFF2-40B4-BE49-F238E27FC236}">
              <a16:creationId xmlns:a16="http://schemas.microsoft.com/office/drawing/2014/main" id="{0861EEAD-B34A-47F4-A6AF-31B77C33A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5"/>
        </a:graphicData>
      </a:graphic>
    </xdr:graphicFrame>
    <xdr:clientData/>
  </xdr:twoCellAnchor>
  <xdr:twoCellAnchor>
    <xdr:from>
      <xdr:col>1</xdr:col>
      <xdr:colOff>0</xdr:colOff>
      <xdr:row>430</xdr:row>
      <xdr:rowOff>0</xdr:rowOff>
    </xdr:from>
    <xdr:to>
      <xdr:col>7</xdr:col>
      <xdr:colOff>26144</xdr:colOff>
      <xdr:row>445</xdr:row>
      <xdr:rowOff>124154</xdr:rowOff>
    </xdr:to>
    <xdr:graphicFrame macro="">
      <xdr:nvGraphicFramePr>
        <xdr:cNvPr id="164" name="Diagram 163">
          <a:extLst>
            <a:ext uri="{FF2B5EF4-FFF2-40B4-BE49-F238E27FC236}">
              <a16:creationId xmlns:a16="http://schemas.microsoft.com/office/drawing/2014/main" id="{1497DFF0-0385-4FFA-9676-59C2EE6836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6"/>
        </a:graphicData>
      </a:graphic>
    </xdr:graphicFrame>
    <xdr:clientData/>
  </xdr:twoCellAnchor>
  <xdr:twoCellAnchor>
    <xdr:from>
      <xdr:col>1</xdr:col>
      <xdr:colOff>0</xdr:colOff>
      <xdr:row>450</xdr:row>
      <xdr:rowOff>0</xdr:rowOff>
    </xdr:from>
    <xdr:to>
      <xdr:col>7</xdr:col>
      <xdr:colOff>3175</xdr:colOff>
      <xdr:row>465</xdr:row>
      <xdr:rowOff>64294</xdr:rowOff>
    </xdr:to>
    <xdr:graphicFrame macro="">
      <xdr:nvGraphicFramePr>
        <xdr:cNvPr id="165" name="Diagram 164">
          <a:extLst>
            <a:ext uri="{FF2B5EF4-FFF2-40B4-BE49-F238E27FC236}">
              <a16:creationId xmlns:a16="http://schemas.microsoft.com/office/drawing/2014/main" id="{1C1E840F-963E-4480-8D92-33DC36808D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7"/>
        </a:graphicData>
      </a:graphic>
    </xdr:graphicFrame>
    <xdr:clientData/>
  </xdr:twoCellAnchor>
  <xdr:twoCellAnchor>
    <xdr:from>
      <xdr:col>1</xdr:col>
      <xdr:colOff>0</xdr:colOff>
      <xdr:row>470</xdr:row>
      <xdr:rowOff>0</xdr:rowOff>
    </xdr:from>
    <xdr:to>
      <xdr:col>6</xdr:col>
      <xdr:colOff>714375</xdr:colOff>
      <xdr:row>487</xdr:row>
      <xdr:rowOff>30161</xdr:rowOff>
    </xdr:to>
    <xdr:graphicFrame macro="">
      <xdr:nvGraphicFramePr>
        <xdr:cNvPr id="166" name="Diagram 165">
          <a:extLst>
            <a:ext uri="{FF2B5EF4-FFF2-40B4-BE49-F238E27FC236}">
              <a16:creationId xmlns:a16="http://schemas.microsoft.com/office/drawing/2014/main" id="{1E15ABC7-D80B-4994-AC4F-D5518FFF64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8"/>
        </a:graphicData>
      </a:graphic>
    </xdr:graphicFrame>
    <xdr:clientData/>
  </xdr:twoCellAnchor>
  <xdr:twoCellAnchor>
    <xdr:from>
      <xdr:col>1</xdr:col>
      <xdr:colOff>0</xdr:colOff>
      <xdr:row>511</xdr:row>
      <xdr:rowOff>0</xdr:rowOff>
    </xdr:from>
    <xdr:to>
      <xdr:col>6</xdr:col>
      <xdr:colOff>711200</xdr:colOff>
      <xdr:row>528</xdr:row>
      <xdr:rowOff>30162</xdr:rowOff>
    </xdr:to>
    <xdr:graphicFrame macro="">
      <xdr:nvGraphicFramePr>
        <xdr:cNvPr id="167" name="Diagram 166">
          <a:extLst>
            <a:ext uri="{FF2B5EF4-FFF2-40B4-BE49-F238E27FC236}">
              <a16:creationId xmlns:a16="http://schemas.microsoft.com/office/drawing/2014/main" id="{D6A98F77-3C33-40F7-A60C-F01E158067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9"/>
        </a:graphicData>
      </a:graphic>
    </xdr:graphicFrame>
    <xdr:clientData/>
  </xdr:twoCellAnchor>
  <xdr:twoCellAnchor>
    <xdr:from>
      <xdr:col>1</xdr:col>
      <xdr:colOff>0</xdr:colOff>
      <xdr:row>533</xdr:row>
      <xdr:rowOff>0</xdr:rowOff>
    </xdr:from>
    <xdr:to>
      <xdr:col>7</xdr:col>
      <xdr:colOff>27214</xdr:colOff>
      <xdr:row>553</xdr:row>
      <xdr:rowOff>81643</xdr:rowOff>
    </xdr:to>
    <xdr:graphicFrame macro="">
      <xdr:nvGraphicFramePr>
        <xdr:cNvPr id="168" name="Diagram 167">
          <a:extLst>
            <a:ext uri="{FF2B5EF4-FFF2-40B4-BE49-F238E27FC236}">
              <a16:creationId xmlns:a16="http://schemas.microsoft.com/office/drawing/2014/main" id="{28665832-2F01-44C4-A4B4-ECD5F98E98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0"/>
        </a:graphicData>
      </a:graphic>
    </xdr:graphicFrame>
    <xdr:clientData/>
  </xdr:twoCellAnchor>
  <xdr:twoCellAnchor>
    <xdr:from>
      <xdr:col>1</xdr:col>
      <xdr:colOff>0</xdr:colOff>
      <xdr:row>585</xdr:row>
      <xdr:rowOff>0</xdr:rowOff>
    </xdr:from>
    <xdr:to>
      <xdr:col>7</xdr:col>
      <xdr:colOff>26144</xdr:colOff>
      <xdr:row>600</xdr:row>
      <xdr:rowOff>124154</xdr:rowOff>
    </xdr:to>
    <xdr:graphicFrame macro="">
      <xdr:nvGraphicFramePr>
        <xdr:cNvPr id="169" name="Diagram 168">
          <a:extLst>
            <a:ext uri="{FF2B5EF4-FFF2-40B4-BE49-F238E27FC236}">
              <a16:creationId xmlns:a16="http://schemas.microsoft.com/office/drawing/2014/main" id="{69035F79-17E8-4E73-AF05-0883B1998A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1"/>
        </a:graphicData>
      </a:graphic>
    </xdr:graphicFrame>
    <xdr:clientData/>
  </xdr:twoCellAnchor>
  <xdr:twoCellAnchor>
    <xdr:from>
      <xdr:col>1</xdr:col>
      <xdr:colOff>0</xdr:colOff>
      <xdr:row>605</xdr:row>
      <xdr:rowOff>0</xdr:rowOff>
    </xdr:from>
    <xdr:to>
      <xdr:col>7</xdr:col>
      <xdr:colOff>26144</xdr:colOff>
      <xdr:row>620</xdr:row>
      <xdr:rowOff>124154</xdr:rowOff>
    </xdr:to>
    <xdr:graphicFrame macro="">
      <xdr:nvGraphicFramePr>
        <xdr:cNvPr id="170" name="Diagram 169">
          <a:extLst>
            <a:ext uri="{FF2B5EF4-FFF2-40B4-BE49-F238E27FC236}">
              <a16:creationId xmlns:a16="http://schemas.microsoft.com/office/drawing/2014/main" id="{60AD2059-120C-4838-A9CB-0AC59672FC9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2"/>
        </a:graphicData>
      </a:graphic>
    </xdr:graphicFrame>
    <xdr:clientData/>
  </xdr:twoCellAnchor>
  <xdr:twoCellAnchor>
    <xdr:from>
      <xdr:col>1</xdr:col>
      <xdr:colOff>0</xdr:colOff>
      <xdr:row>625</xdr:row>
      <xdr:rowOff>0</xdr:rowOff>
    </xdr:from>
    <xdr:to>
      <xdr:col>7</xdr:col>
      <xdr:colOff>26144</xdr:colOff>
      <xdr:row>640</xdr:row>
      <xdr:rowOff>124154</xdr:rowOff>
    </xdr:to>
    <xdr:graphicFrame macro="">
      <xdr:nvGraphicFramePr>
        <xdr:cNvPr id="171" name="Diagram 170">
          <a:extLst>
            <a:ext uri="{FF2B5EF4-FFF2-40B4-BE49-F238E27FC236}">
              <a16:creationId xmlns:a16="http://schemas.microsoft.com/office/drawing/2014/main" id="{4C390DA0-02D8-4E47-B6EA-39F25F2384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3"/>
        </a:graphicData>
      </a:graphic>
    </xdr:graphicFrame>
    <xdr:clientData/>
  </xdr:twoCellAnchor>
  <xdr:twoCellAnchor>
    <xdr:from>
      <xdr:col>1</xdr:col>
      <xdr:colOff>0</xdr:colOff>
      <xdr:row>645</xdr:row>
      <xdr:rowOff>0</xdr:rowOff>
    </xdr:from>
    <xdr:to>
      <xdr:col>7</xdr:col>
      <xdr:colOff>26144</xdr:colOff>
      <xdr:row>660</xdr:row>
      <xdr:rowOff>124154</xdr:rowOff>
    </xdr:to>
    <xdr:graphicFrame macro="">
      <xdr:nvGraphicFramePr>
        <xdr:cNvPr id="172" name="Diagram 171">
          <a:extLst>
            <a:ext uri="{FF2B5EF4-FFF2-40B4-BE49-F238E27FC236}">
              <a16:creationId xmlns:a16="http://schemas.microsoft.com/office/drawing/2014/main" id="{AAD50991-7559-4744-A1E8-9B2CA170F6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4"/>
        </a:graphicData>
      </a:graphic>
    </xdr:graphicFrame>
    <xdr:clientData/>
  </xdr:twoCellAnchor>
  <xdr:twoCellAnchor>
    <xdr:from>
      <xdr:col>1</xdr:col>
      <xdr:colOff>0</xdr:colOff>
      <xdr:row>665</xdr:row>
      <xdr:rowOff>0</xdr:rowOff>
    </xdr:from>
    <xdr:to>
      <xdr:col>7</xdr:col>
      <xdr:colOff>26144</xdr:colOff>
      <xdr:row>680</xdr:row>
      <xdr:rowOff>124154</xdr:rowOff>
    </xdr:to>
    <xdr:graphicFrame macro="">
      <xdr:nvGraphicFramePr>
        <xdr:cNvPr id="173" name="Diagram 172">
          <a:extLst>
            <a:ext uri="{FF2B5EF4-FFF2-40B4-BE49-F238E27FC236}">
              <a16:creationId xmlns:a16="http://schemas.microsoft.com/office/drawing/2014/main" id="{2CFBD480-C384-40FC-BF48-14E2DC6078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5"/>
        </a:graphicData>
      </a:graphic>
    </xdr:graphicFrame>
    <xdr:clientData/>
  </xdr:twoCellAnchor>
  <xdr:twoCellAnchor>
    <xdr:from>
      <xdr:col>1</xdr:col>
      <xdr:colOff>0</xdr:colOff>
      <xdr:row>685</xdr:row>
      <xdr:rowOff>0</xdr:rowOff>
    </xdr:from>
    <xdr:to>
      <xdr:col>7</xdr:col>
      <xdr:colOff>9525</xdr:colOff>
      <xdr:row>700</xdr:row>
      <xdr:rowOff>89693</xdr:rowOff>
    </xdr:to>
    <xdr:graphicFrame macro="">
      <xdr:nvGraphicFramePr>
        <xdr:cNvPr id="174" name="Diagram 173">
          <a:extLst>
            <a:ext uri="{FF2B5EF4-FFF2-40B4-BE49-F238E27FC236}">
              <a16:creationId xmlns:a16="http://schemas.microsoft.com/office/drawing/2014/main" id="{DA6BE04C-BFF1-446D-A377-6CB1EC863AA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6"/>
        </a:graphicData>
      </a:graphic>
    </xdr:graphicFrame>
    <xdr:clientData/>
  </xdr:twoCellAnchor>
  <xdr:twoCellAnchor>
    <xdr:from>
      <xdr:col>1</xdr:col>
      <xdr:colOff>0</xdr:colOff>
      <xdr:row>705</xdr:row>
      <xdr:rowOff>0</xdr:rowOff>
    </xdr:from>
    <xdr:to>
      <xdr:col>7</xdr:col>
      <xdr:colOff>9525</xdr:colOff>
      <xdr:row>720</xdr:row>
      <xdr:rowOff>89693</xdr:rowOff>
    </xdr:to>
    <xdr:graphicFrame macro="">
      <xdr:nvGraphicFramePr>
        <xdr:cNvPr id="175" name="Diagram 174">
          <a:extLst>
            <a:ext uri="{FF2B5EF4-FFF2-40B4-BE49-F238E27FC236}">
              <a16:creationId xmlns:a16="http://schemas.microsoft.com/office/drawing/2014/main" id="{74802EBF-4BB0-43B0-B170-F750CC8BB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7"/>
        </a:graphicData>
      </a:graphic>
    </xdr:graphicFrame>
    <xdr:clientData/>
  </xdr:twoCellAnchor>
  <xdr:twoCellAnchor>
    <xdr:from>
      <xdr:col>1</xdr:col>
      <xdr:colOff>0</xdr:colOff>
      <xdr:row>745</xdr:row>
      <xdr:rowOff>0</xdr:rowOff>
    </xdr:from>
    <xdr:to>
      <xdr:col>7</xdr:col>
      <xdr:colOff>26144</xdr:colOff>
      <xdr:row>760</xdr:row>
      <xdr:rowOff>124154</xdr:rowOff>
    </xdr:to>
    <xdr:graphicFrame macro="">
      <xdr:nvGraphicFramePr>
        <xdr:cNvPr id="176" name="Diagram 175">
          <a:extLst>
            <a:ext uri="{FF2B5EF4-FFF2-40B4-BE49-F238E27FC236}">
              <a16:creationId xmlns:a16="http://schemas.microsoft.com/office/drawing/2014/main" id="{1AF01188-8B0F-4FD1-8CC8-FC74972611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8"/>
        </a:graphicData>
      </a:graphic>
    </xdr:graphicFrame>
    <xdr:clientData/>
  </xdr:twoCellAnchor>
  <xdr:twoCellAnchor>
    <xdr:from>
      <xdr:col>1</xdr:col>
      <xdr:colOff>0</xdr:colOff>
      <xdr:row>765</xdr:row>
      <xdr:rowOff>0</xdr:rowOff>
    </xdr:from>
    <xdr:to>
      <xdr:col>7</xdr:col>
      <xdr:colOff>26144</xdr:colOff>
      <xdr:row>780</xdr:row>
      <xdr:rowOff>124154</xdr:rowOff>
    </xdr:to>
    <xdr:graphicFrame macro="">
      <xdr:nvGraphicFramePr>
        <xdr:cNvPr id="177" name="Diagram 176">
          <a:extLst>
            <a:ext uri="{FF2B5EF4-FFF2-40B4-BE49-F238E27FC236}">
              <a16:creationId xmlns:a16="http://schemas.microsoft.com/office/drawing/2014/main" id="{47DD8BFE-D5E1-4229-A1BE-F2A4D5F4B3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9"/>
        </a:graphicData>
      </a:graphic>
    </xdr:graphicFrame>
    <xdr:clientData/>
  </xdr:twoCellAnchor>
  <xdr:twoCellAnchor>
    <xdr:from>
      <xdr:col>1</xdr:col>
      <xdr:colOff>0</xdr:colOff>
      <xdr:row>785</xdr:row>
      <xdr:rowOff>0</xdr:rowOff>
    </xdr:from>
    <xdr:to>
      <xdr:col>7</xdr:col>
      <xdr:colOff>26144</xdr:colOff>
      <xdr:row>800</xdr:row>
      <xdr:rowOff>124154</xdr:rowOff>
    </xdr:to>
    <xdr:graphicFrame macro="">
      <xdr:nvGraphicFramePr>
        <xdr:cNvPr id="178" name="Diagram 177">
          <a:extLst>
            <a:ext uri="{FF2B5EF4-FFF2-40B4-BE49-F238E27FC236}">
              <a16:creationId xmlns:a16="http://schemas.microsoft.com/office/drawing/2014/main" id="{348C90E0-46EF-45B8-A881-EF963DF54B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0"/>
        </a:graphicData>
      </a:graphic>
    </xdr:graphicFrame>
    <xdr:clientData/>
  </xdr:twoCellAnchor>
  <xdr:twoCellAnchor>
    <xdr:from>
      <xdr:col>1</xdr:col>
      <xdr:colOff>0</xdr:colOff>
      <xdr:row>805</xdr:row>
      <xdr:rowOff>0</xdr:rowOff>
    </xdr:from>
    <xdr:to>
      <xdr:col>7</xdr:col>
      <xdr:colOff>26144</xdr:colOff>
      <xdr:row>820</xdr:row>
      <xdr:rowOff>124154</xdr:rowOff>
    </xdr:to>
    <xdr:graphicFrame macro="">
      <xdr:nvGraphicFramePr>
        <xdr:cNvPr id="179" name="Diagram 178">
          <a:extLst>
            <a:ext uri="{FF2B5EF4-FFF2-40B4-BE49-F238E27FC236}">
              <a16:creationId xmlns:a16="http://schemas.microsoft.com/office/drawing/2014/main" id="{70079282-0C17-48B0-A83A-2F12B31583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1"/>
        </a:graphicData>
      </a:graphic>
    </xdr:graphicFrame>
    <xdr:clientData/>
  </xdr:twoCellAnchor>
  <xdr:twoCellAnchor>
    <xdr:from>
      <xdr:col>1</xdr:col>
      <xdr:colOff>0</xdr:colOff>
      <xdr:row>826</xdr:row>
      <xdr:rowOff>0</xdr:rowOff>
    </xdr:from>
    <xdr:to>
      <xdr:col>7</xdr:col>
      <xdr:colOff>9525</xdr:colOff>
      <xdr:row>841</xdr:row>
      <xdr:rowOff>89693</xdr:rowOff>
    </xdr:to>
    <xdr:graphicFrame macro="">
      <xdr:nvGraphicFramePr>
        <xdr:cNvPr id="180" name="Diagram 179">
          <a:extLst>
            <a:ext uri="{FF2B5EF4-FFF2-40B4-BE49-F238E27FC236}">
              <a16:creationId xmlns:a16="http://schemas.microsoft.com/office/drawing/2014/main" id="{C0F5CECA-674B-41A9-AE43-3BBB56273D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2"/>
        </a:graphicData>
      </a:graphic>
    </xdr:graphicFrame>
    <xdr:clientData/>
  </xdr:twoCellAnchor>
  <xdr:twoCellAnchor>
    <xdr:from>
      <xdr:col>1</xdr:col>
      <xdr:colOff>0</xdr:colOff>
      <xdr:row>846</xdr:row>
      <xdr:rowOff>0</xdr:rowOff>
    </xdr:from>
    <xdr:to>
      <xdr:col>7</xdr:col>
      <xdr:colOff>26144</xdr:colOff>
      <xdr:row>861</xdr:row>
      <xdr:rowOff>124154</xdr:rowOff>
    </xdr:to>
    <xdr:graphicFrame macro="">
      <xdr:nvGraphicFramePr>
        <xdr:cNvPr id="181" name="Diagram 180">
          <a:extLst>
            <a:ext uri="{FF2B5EF4-FFF2-40B4-BE49-F238E27FC236}">
              <a16:creationId xmlns:a16="http://schemas.microsoft.com/office/drawing/2014/main" id="{A25BEFE7-4D4A-471E-A62E-4EBE571319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3"/>
        </a:graphicData>
      </a:graphic>
    </xdr:graphicFrame>
    <xdr:clientData/>
  </xdr:twoCellAnchor>
  <xdr:twoCellAnchor>
    <xdr:from>
      <xdr:col>1</xdr:col>
      <xdr:colOff>0</xdr:colOff>
      <xdr:row>866</xdr:row>
      <xdr:rowOff>0</xdr:rowOff>
    </xdr:from>
    <xdr:to>
      <xdr:col>7</xdr:col>
      <xdr:colOff>26144</xdr:colOff>
      <xdr:row>881</xdr:row>
      <xdr:rowOff>124154</xdr:rowOff>
    </xdr:to>
    <xdr:graphicFrame macro="">
      <xdr:nvGraphicFramePr>
        <xdr:cNvPr id="182" name="Diagram 181">
          <a:extLst>
            <a:ext uri="{FF2B5EF4-FFF2-40B4-BE49-F238E27FC236}">
              <a16:creationId xmlns:a16="http://schemas.microsoft.com/office/drawing/2014/main" id="{7C5EF4A8-192A-42A4-AABC-F3D05E3D1D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4"/>
        </a:graphicData>
      </a:graphic>
    </xdr:graphicFrame>
    <xdr:clientData/>
  </xdr:twoCellAnchor>
  <xdr:twoCellAnchor>
    <xdr:from>
      <xdr:col>1</xdr:col>
      <xdr:colOff>0</xdr:colOff>
      <xdr:row>886</xdr:row>
      <xdr:rowOff>0</xdr:rowOff>
    </xdr:from>
    <xdr:to>
      <xdr:col>7</xdr:col>
      <xdr:colOff>26144</xdr:colOff>
      <xdr:row>901</xdr:row>
      <xdr:rowOff>124154</xdr:rowOff>
    </xdr:to>
    <xdr:graphicFrame macro="">
      <xdr:nvGraphicFramePr>
        <xdr:cNvPr id="183" name="Diagram 182">
          <a:extLst>
            <a:ext uri="{FF2B5EF4-FFF2-40B4-BE49-F238E27FC236}">
              <a16:creationId xmlns:a16="http://schemas.microsoft.com/office/drawing/2014/main" id="{A41FC78D-F2A2-4CDC-AA94-1B61B0D4CF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5"/>
        </a:graphicData>
      </a:graphic>
    </xdr:graphicFrame>
    <xdr:clientData/>
  </xdr:twoCellAnchor>
  <xdr:twoCellAnchor>
    <xdr:from>
      <xdr:col>21</xdr:col>
      <xdr:colOff>81643</xdr:colOff>
      <xdr:row>23</xdr:row>
      <xdr:rowOff>108858</xdr:rowOff>
    </xdr:from>
    <xdr:to>
      <xdr:col>28</xdr:col>
      <xdr:colOff>743856</xdr:colOff>
      <xdr:row>43</xdr:row>
      <xdr:rowOff>6389</xdr:rowOff>
    </xdr:to>
    <xdr:graphicFrame macro="">
      <xdr:nvGraphicFramePr>
        <xdr:cNvPr id="184" name="Diagram 183">
          <a:extLst>
            <a:ext uri="{FF2B5EF4-FFF2-40B4-BE49-F238E27FC236}">
              <a16:creationId xmlns:a16="http://schemas.microsoft.com/office/drawing/2014/main" id="{F3A947F5-5680-4823-ABA3-108E00135C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6"/>
        </a:graphicData>
      </a:graphic>
    </xdr:graphicFrame>
    <xdr:clientData/>
  </xdr:twoCellAnchor>
  <xdr:twoCellAnchor>
    <xdr:from>
      <xdr:col>11</xdr:col>
      <xdr:colOff>0</xdr:colOff>
      <xdr:row>23</xdr:row>
      <xdr:rowOff>108857</xdr:rowOff>
    </xdr:from>
    <xdr:to>
      <xdr:col>18</xdr:col>
      <xdr:colOff>633536</xdr:colOff>
      <xdr:row>43</xdr:row>
      <xdr:rowOff>21853</xdr:rowOff>
    </xdr:to>
    <xdr:graphicFrame macro="">
      <xdr:nvGraphicFramePr>
        <xdr:cNvPr id="187" name="Diagram 186">
          <a:extLst>
            <a:ext uri="{FF2B5EF4-FFF2-40B4-BE49-F238E27FC236}">
              <a16:creationId xmlns:a16="http://schemas.microsoft.com/office/drawing/2014/main" id="{D568682F-8AA0-4B98-AD36-F1FF3552753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7"/>
        </a:graphicData>
      </a:graphic>
    </xdr:graphicFrame>
    <xdr:clientData/>
  </xdr:twoCellAnchor>
  <xdr:twoCellAnchor>
    <xdr:from>
      <xdr:col>16</xdr:col>
      <xdr:colOff>13607</xdr:colOff>
      <xdr:row>5</xdr:row>
      <xdr:rowOff>54429</xdr:rowOff>
    </xdr:from>
    <xdr:to>
      <xdr:col>22</xdr:col>
      <xdr:colOff>54429</xdr:colOff>
      <xdr:row>18</xdr:row>
      <xdr:rowOff>13607</xdr:rowOff>
    </xdr:to>
    <xdr:graphicFrame macro="">
      <xdr:nvGraphicFramePr>
        <xdr:cNvPr id="188" name="Diagram 2">
          <a:extLst>
            <a:ext uri="{FF2B5EF4-FFF2-40B4-BE49-F238E27FC236}">
              <a16:creationId xmlns:a16="http://schemas.microsoft.com/office/drawing/2014/main" id="{5BA178F6-D7F4-4D7E-9283-4F979CE4EC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8"/>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115C101-5E8A-47CC-BD53-0CDCC4A8084D}" name="Tabell2" displayName="Tabell2" ref="A2:BX56" totalsRowCount="1" headerRowDxfId="153" tableBorderDxfId="152">
  <autoFilter ref="A2:BX55" xr:uid="{2115C101-5E8A-47CC-BD53-0CDCC4A8084D}"/>
  <sortState xmlns:xlrd2="http://schemas.microsoft.com/office/spreadsheetml/2017/richdata2" ref="A3:BX55">
    <sortCondition ref="AH2:AH55"/>
  </sortState>
  <tableColumns count="76">
    <tableColumn id="1" xr3:uid="{C71060C9-8D4E-4418-9861-E9B3657DED01}" name="Årstall" dataDxfId="151" totalsRowDxfId="150"/>
    <tableColumn id="2" xr3:uid="{2D833942-4097-4157-BFDA-510742B19CDD}" name="Doffinkode" dataDxfId="149" totalsRowDxfId="148"/>
    <tableColumn id="3" xr3:uid="{5A42B9F4-31DA-416F-A26F-3C295A771D6F}" name="Dato for kunngjøring" dataDxfId="147" totalsRowDxfId="146"/>
    <tableColumn id="4" xr3:uid="{87066CF1-4F4F-4B52-8D57-C066F684010E}" name="Publisert av" dataDxfId="145" totalsRowDxfId="144" dataCellStyle="Komma"/>
    <tableColumn id="5" xr3:uid="{D378A1E1-6D7B-4E8C-A4C9-AD1323DFE214}" name="Organisasjonsnummer" dataDxfId="143" totalsRowDxfId="142"/>
    <tableColumn id="6" xr3:uid="{88154B17-03C1-4EEC-B314-1351AB5D4669}" name="Tittel" dataDxfId="141" totalsRowDxfId="140" dataCellStyle="Komma"/>
    <tableColumn id="7" xr3:uid="{6FE715F2-383A-40B9-9CE9-B95FEEDD7709}" name="Fylke" dataDxfId="139" totalsRowDxfId="138" dataCellStyle="Komma"/>
    <tableColumn id="8" xr3:uid="{C6684C28-13F2-4E54-9B12-1205CF7C0C12}" name="Oppdragsgiver" dataDxfId="137" totalsRowDxfId="136" dataCellStyle="Komma"/>
    <tableColumn id="9" xr3:uid="{4A7434EC-3361-4430-AAAC-ECCC06485718}" name="Hoved CPV" dataDxfId="135" totalsRowDxfId="134"/>
    <tableColumn id="10" xr3:uid="{8411D367-DA4F-453E-AE0C-F1ADAC7949CB}" name="Dynamisk innkjøpsordning" dataDxfId="133" totalsRowDxfId="132"/>
    <tableColumn id="11" xr3:uid="{EABCBA8D-0DA1-46D2-BA6B-EC6DEE7B83BD}" name="Varekategori" dataDxfId="131" totalsRowDxfId="130"/>
    <tableColumn id="12" xr3:uid="{3076116E-1CE5-4A80-BC42-28C0EE8AE9A0}" name="Type konkurranse" dataDxfId="129" totalsRowDxfId="128"/>
    <tableColumn id="13" xr3:uid="{9CB14C8D-B001-4692-8DF8-65FA564CB568}" name="Delkontrakt" dataDxfId="127" totalsRowDxfId="126"/>
    <tableColumn id="14" xr3:uid="{81686FE2-8633-4DF0-8F0F-9E11AB5C16BA}" name="Estimert verdi" dataDxfId="125" totalsRowDxfId="124"/>
    <tableColumn id="15" xr3:uid="{E0C7AD0C-A7D5-4F5D-BA8F-7F0934C2FBA3}" name="Kontormøbler" dataDxfId="123" totalsRowDxfId="122"/>
    <tableColumn id="16" xr3:uid="{4B7BBC5F-7F88-4D49-BBA1-A56602174360}" name="Link til konkurransegrunnlag" dataDxfId="121" totalsRowDxfId="120" dataCellStyle="Hyperkobling"/>
    <tableColumn id="17" xr3:uid="{9265A0F1-81B0-4931-BE5C-CD5AB62AB523}" name="Epost kontaktperson " dataDxfId="119" totalsRowDxfId="118" dataCellStyle="Hyperkobling"/>
    <tableColumn id="18" xr3:uid="{DBAC4809-63CB-42A6-A5B4-45FC673712ED}" name="Kolonne1" dataDxfId="117" totalsRowDxfId="116" dataCellStyle="Hyperkobling"/>
    <tableColumn id="19" xr3:uid="{64B1D712-97BC-44DD-8150-6CA15D17703B}" name="Vekting av miljø (%)" dataDxfId="115" totalsRowDxfId="114" dataCellStyle="Prosent"/>
    <tableColumn id="20" xr3:uid="{BA0E4F69-E65C-4E2A-8DE0-E7B89403494D}" name="Vekting av pris (%)" dataDxfId="113" totalsRowDxfId="112" dataCellStyle="Prosent"/>
    <tableColumn id="21" xr3:uid="{F8F2BF12-F8F9-4F11-9E56-27DE03017263}" name="Vekting av kvalitet og service (%)" dataDxfId="111" totalsRowDxfId="110" dataCellStyle="Prosent"/>
    <tableColumn id="22" xr3:uid="{F2D2A265-BCE0-4EA3-AD88-2FBD34E48CDD}" name="Miljø som tildelings kriterium" dataDxfId="109" totalsRowDxfId="108"/>
    <tableColumn id="23" xr3:uid="{C949CE8B-C556-4D3D-8F87-84E743C049C2}" name="Miljømerke som tildelings kriterium" dataDxfId="107" totalsRowDxfId="106"/>
    <tableColumn id="24" xr3:uid="{DD1802B9-65AF-4BA3-85FE-C67F8485B496}" name="EPD som tildelings kriterium" dataDxfId="105" totalsRowDxfId="104"/>
    <tableColumn id="25" xr3:uid="{6E2490AF-67E2-4E74-BEDA-1D2127103A9C}" name="Miljø som kontrakts vilkår" dataDxfId="103" totalsRowDxfId="102"/>
    <tableColumn id="26" xr3:uid="{EA36BC7A-4913-4AC1-ABC7-C07860EECF11}" name="Miljø som kvalifikasjons krav" dataDxfId="101" totalsRowDxfId="100" dataCellStyle="Prosent"/>
    <tableColumn id="27" xr3:uid="{34905B70-710B-414A-90F6-A63995B3819F}" name="Miljø som krav spesifikasjon" dataDxfId="99" totalsRowDxfId="98" dataCellStyle="Prosent"/>
    <tableColumn id="28" xr3:uid="{2459C285-F847-426B-8B90-D42AB7BC3576}" name="Miljø/sikrulært fokus i tittel? " dataDxfId="97" totalsRowDxfId="96" dataCellStyle="Prosent"/>
    <tableColumn id="29" xr3:uid="{A132387C-99D7-4A90-9A5A-73749CEB612E}" name="Miljø/sirkulært nevnt/fokus i formål/behov/ beskrivelse av konkurransen? " dataDxfId="95" totalsRowDxfId="94" dataCellStyle="Prosent"/>
    <tableColumn id="30" xr3:uid="{3B9179AE-0A4B-4038-A6DE-45435E593590}" name="Minimere energibruk" dataDxfId="93" totalsRowDxfId="92" dataCellStyle="Prosent"/>
    <tableColumn id="31" xr3:uid="{EC5C05C3-7159-49BB-9208-662E83004718}" name="Klimafotavtrykk/ klimagassutslipp" dataDxfId="91" totalsRowDxfId="90"/>
    <tableColumn id="32" xr3:uid="{BE286493-38DB-4B30-86FA-C6128EA7D050}" name="Minimere/ redusere miljøbelastning/ miljøpåvirkning" dataDxfId="89" totalsRowDxfId="88"/>
    <tableColumn id="33" xr3:uid="{90F34318-7EE9-413C-B14B-B82FADB92193}" name="Miljøledelsessystem (ISO14001, Miljøfyrtårn etc.)" dataDxfId="87" totalsRowDxfId="86" dataCellStyle="Prosent"/>
    <tableColumn id="34" xr3:uid="{601D14B3-ECFA-4E2E-B441-B69AD76B1AC1}" name="Miljømerking som krav, tildelingskriterium, eller kontraktsvilkår - Type 1 (Svanemerket, EU Eco-label, Svensk Møbelfakta, osv.)" dataDxfId="85" totalsRowDxfId="84"/>
    <tableColumn id="35" xr3:uid="{F361CDE5-0542-455B-A7BA-4DE9155E1EA7}" name="EPD/Miljødeklarasjon - som krav, tildelingskriterium, kontraktsvilkår eller dokumentasjon" dataDxfId="83" totalsRowDxfId="82"/>
    <tableColumn id="36" xr3:uid="{8969861B-85B1-46AF-8600-2676241DBCA0}" name="Bærekraftig trevirke/skogbruk - tømmerforordningen, FSC eller PEFC " totalsRowFunction="custom" dataDxfId="81" totalsRowDxfId="80">
      <totalsRowFormula>+COUNTIF(Tabell2[Bærekraftig trevirke/skogbruk - tømmerforordningen, FSC eller PEFC ],1)+COUNTIF(Tabell2[Bærekraftig trevirke/skogbruk - tømmerforordningen, FSC eller PEFC ],2)</totalsRowFormula>
    </tableColumn>
    <tableColumn id="37" xr3:uid="{9FE00AB2-3C5C-495D-AB5E-14E9B0E85A92}" name="Krav til kvalitet / EN standarder/henvisning til Norsk møbelfakta" totalsRowFunction="custom" dataDxfId="79" totalsRowDxfId="78">
      <totalsRowFormula>+COUNTIF(Tabell2[Krav til kvalitet / EN standarder/henvisning til Norsk møbelfakta],1)+COUNTIF(Tabell2[Krav til kvalitet / EN standarder/henvisning til Norsk møbelfakta],2)</totalsRowFormula>
    </tableColumn>
    <tableColumn id="38" xr3:uid="{BAB69FFA-CF2C-4FA0-8ADC-48C6FA67A2E3}" name="Robuste møbeltekstiler/ kvalitet på møbeltrekk" totalsRowFunction="custom" dataDxfId="77" totalsRowDxfId="76">
      <totalsRowFormula>+COUNTIF(Tabell2[Robuste møbeltekstiler/ kvalitet på møbeltrekk],1)+COUNTIF(Tabell2[Robuste møbeltekstiler/ kvalitet på møbeltrekk],2)</totalsRowFormula>
    </tableColumn>
    <tableColumn id="39" xr3:uid="{490E1154-C358-4B41-902C-D2A444860B07}" name="Leverandøren skal kunne levere brukte møbler" totalsRowFunction="custom" dataDxfId="75" totalsRowDxfId="74">
      <totalsRowFormula>+COUNTIF(Tabell2[Leverandøren skal kunne levere brukte møbler],1)+COUNTIF(Tabell2[Leverandøren skal kunne levere brukte møbler],2)</totalsRowFormula>
    </tableColumn>
    <tableColumn id="40" xr3:uid="{51F2A564-0D0D-4031-ADB6-FB1EE1316694}" name="Brukte møbler er untatt fra avtalen" totalsRowFunction="custom" dataDxfId="73" totalsRowDxfId="72">
      <totalsRowFormula>+COUNTIF(Tabell2[Brukte møbler er untatt fra avtalen],1)+COUNTIF(Tabell2[Brukte møbler er untatt fra avtalen],2)</totalsRowFormula>
    </tableColumn>
    <tableColumn id="41" xr3:uid="{016C3DBE-628B-4C91-BE89-219B8027EF77}" name="Design for lang levetid (Demontering, Reservedeler, produktinformasjon om montering og vedlikehold)" totalsRowFunction="custom" dataDxfId="71" totalsRowDxfId="70">
      <totalsRowFormula>+COUNTIF(Tabell2[Design for lang levetid (Demontering, Reservedeler, produktinformasjon om montering og vedlikehold)],1)+COUNTIF(Tabell2[Design for lang levetid (Demontering, Reservedeler, produktinformasjon om montering og vedlikehold)],2)</totalsRowFormula>
    </tableColumn>
    <tableColumn id="42" xr3:uid="{1613E31B-4EF5-4D09-9E22-44F11C9649E3}" name="Merking av plast" totalsRowFunction="custom" dataDxfId="69" totalsRowDxfId="68">
      <totalsRowFormula>+COUNTIF(Tabell2[Merking av plast],1)+COUNTIF(Tabell2[Merking av plast],2)</totalsRowFormula>
    </tableColumn>
    <tableColumn id="43" xr3:uid="{9A118D03-FF34-4F00-9AE0-992DD4246E0B}" name="Leie/ leasing av møbler" totalsRowFunction="custom" dataDxfId="67" totalsRowDxfId="66">
      <totalsRowFormula>+COUNTIF(Tabell2[Leie/ leasing av møbler],1)+COUNTIF(Tabell2[Leie/ leasing av møbler],2)</totalsRowFormula>
    </tableColumn>
    <tableColumn id="44" xr3:uid="{B6D973B1-13C0-4C1E-82CA-EF78A137E06D}" name="Leverandøren skal ta tilbake brukte møbler" totalsRowFunction="custom" dataDxfId="65" totalsRowDxfId="64">
      <totalsRowFormula>+COUNTIF(Tabell2[Leverandøren skal ta tilbake brukte møbler],1)+COUNTIF(Tabell2[Leverandøren skal ta tilbake brukte møbler],2)</totalsRowFormula>
    </tableColumn>
    <tableColumn id="45" xr3:uid="{D63976D6-1A05-487B-A0B1-DDEFF02B1C67}" name="Avhending, videresalg, materialgjenvinnes/resirkuleres, (at de ber om en tjeneste om at leverandøren skal ta inn oppdragsgivers brukte møbler og videreselge, eller materialgjenvinne/resirkulere). Dette stille kanskje oftest som kontraktvilkår. " totalsRowFunction="custom" dataDxfId="63" totalsRowDxfId="62">
      <totalsRowFormula>+COUNTIF(Tabell2[Avhending, videresalg, materialgjenvinnes/resirkuleres, (at de ber om en tjeneste om at leverandøren skal ta inn oppdragsgivers brukte møbler og videreselge, eller materialgjenvinne/resirkulere). Dette stille kanskje oftest som kontraktvilkår. ],1)+COUNTIF(Tabell2[Avhending, videresalg, materialgjenvinnes/resirkuleres, (at de ber om en tjeneste om at leverandøren skal ta inn oppdragsgivers brukte møbler og videreselge, eller materialgjenvinne/resirkulere). Dette stille kanskje oftest som kontraktvilkår. ],2)</totalsRowFormula>
    </tableColumn>
    <tableColumn id="46" xr3:uid="{0457C74B-E306-4BCD-8E19-08AFECBDAF69}" name="Serviceavtale/ reparasjonsavtale" totalsRowFunction="custom" dataDxfId="61" totalsRowDxfId="60">
      <totalsRowFormula>+COUNTIF(Tabell2[Serviceavtale/ reparasjonsavtale],1)+COUNTIF(Tabell2[Serviceavtale/ reparasjonsavtale],2)</totalsRowFormula>
    </tableColumn>
    <tableColumn id="47" xr3:uid="{27C274EA-50DF-406E-B2F4-5193BD349CE3}" name="TCO/ LCC (Livssyklus kostnader)" totalsRowFunction="custom" dataDxfId="59" totalsRowDxfId="58">
      <totalsRowFormula>+COUNTIF(Tabell2[TCO/ LCC (Livssyklus kostnader)],1)+COUNTIF(Tabell2[TCO/ LCC (Livssyklus kostnader)],2)</totalsRowFormula>
    </tableColumn>
    <tableColumn id="48" xr3:uid="{5E4B7DA5-7A63-4E5B-8ABE-679A241BD73A}" name="Garantitid (år)" totalsRowFunction="custom" dataDxfId="57" totalsRowDxfId="56">
      <totalsRowFormula>+COUNTIF(Tabell2[Garantitid (år)],1)+COUNTIF(Tabell2[Garantitid (år)],2)</totalsRowFormula>
    </tableColumn>
    <tableColumn id="49" xr3:uid="{A37F01FA-18F6-4469-A49E-1BC296623CFD}" name="Vask og rengjøring av møbler" totalsRowFunction="custom" dataDxfId="55" totalsRowDxfId="54">
      <totalsRowFormula>+COUNTIF(Tabell2[Vask og rengjøring av møbler],1)+COUNTIF(Tabell2[Vask og rengjøring av møbler],2)</totalsRowFormula>
    </tableColumn>
    <tableColumn id="50" xr3:uid="{168D4E12-6C33-4954-BFB1-2E812454CF2D}" name="Bruk av resirkulert materiale/resirkulert andel " totalsRowFunction="custom" dataDxfId="53" totalsRowDxfId="52">
      <totalsRowFormula>+COUNTIF(Tabell2[Bruk av resirkulert materiale/resirkulert andel ],1)+COUNTIF(Tabell2[Bruk av resirkulert materiale/resirkulert andel ],2)</totalsRowFormula>
    </tableColumn>
    <tableColumn id="51" xr3:uid="{2E25D29C-F378-428C-88CF-AD295DF2314A}" name="Skal kunne materialgjenvinnes/ resirkuleres, eller at de ber om en tjeneste om at leverandøren" totalsRowFunction="custom" dataDxfId="51" totalsRowDxfId="50">
      <totalsRowFormula>+COUNTIF(Tabell2[Skal kunne materialgjenvinnes/ resirkuleres, eller at de ber om en tjeneste om at leverandøren],1)+COUNTIF(Tabell2[Skal kunne materialgjenvinnes/ resirkuleres, eller at de ber om en tjeneste om at leverandøren],2)</totalsRowFormula>
    </tableColumn>
    <tableColumn id="52" xr3:uid="{AD0437C7-F474-40DA-B5BE-BF25B9ED1A40}" name="Minimere emballasje" totalsRowFunction="custom" dataDxfId="49" totalsRowDxfId="48">
      <totalsRowFormula>+COUNTIF(Tabell2[Minimere emballasje],1)+COUNTIF(Tabell2[Minimere emballasje],2)</totalsRowFormula>
    </tableColumn>
    <tableColumn id="53" xr3:uid="{A00DC8DA-7555-4450-88A3-E449636280DD}" name="Emballasjen skal være resirkulerbar/ gjenbrukbar (kravet om miljøvennelig emballasje)" totalsRowFunction="custom" dataDxfId="47" totalsRowDxfId="46">
      <totalsRowFormula>+COUNTIF(Tabell2[Emballasjen skal være resirkulerbar/ gjenbrukbar (kravet om miljøvennelig emballasje)],1)+COUNTIF(Tabell2[Emballasjen skal være resirkulerbar/ gjenbrukbar (kravet om miljøvennelig emballasje)],2)</totalsRowFormula>
    </tableColumn>
    <tableColumn id="54" xr3:uid="{B648A4F2-6326-4EBB-9FB2-D1B78618F918}" name="Emballasje (retur- grønt punkt, gjenvinning) (kravet om gjenvinnbar emballasje)" totalsRowFunction="custom" dataDxfId="45" totalsRowDxfId="44">
      <totalsRowFormula>+COUNTIF(Tabell2[Emballasje (retur- grønt punkt, gjenvinning) (kravet om gjenvinnbar emballasje)],1)+COUNTIF(Tabell2[Emballasje (retur- grønt punkt, gjenvinning) (kravet om gjenvinnbar emballasje)],2)</totalsRowFormula>
    </tableColumn>
    <tableColumn id="55" xr3:uid="{715794D2-BE32-4637-9F4B-F808CAD6CBE9}" name="Kjemikalietabellen (unngå skadelige kjemikaler)" totalsRowFunction="custom" dataDxfId="43" totalsRowDxfId="42">
      <totalsRowFormula>+COUNTIF(Tabell2[Kjemikalietabellen (unngå skadelige kjemikaler)],1)+COUNTIF(Tabell2[Kjemikalietabellen (unngå skadelige kjemikaler)],2)</totalsRowFormula>
    </tableColumn>
    <tableColumn id="56" xr3:uid="{9569E5ED-8961-496A-8265-9FF9947BC0D7}" name="Kjemikalieinnhold og -håndtering " totalsRowFunction="custom" dataDxfId="41" totalsRowDxfId="40">
      <totalsRowFormula>+COUNTIF(Tabell2[Kjemikalieinnhold og -håndtering ],1)+COUNTIF(Tabell2[Kjemikalieinnhold og -håndtering ],2)</totalsRowFormula>
    </tableColumn>
    <tableColumn id="57" xr3:uid="{CC97EB31-1A99-439F-A309-DFA2AB81E8C1}" name="REACH (prioritetslisten, kandidatlisten)" totalsRowFunction="custom" dataDxfId="39" totalsRowDxfId="38">
      <totalsRowFormula>+COUNTIF(Tabell2[REACH (prioritetslisten, kandidatlisten)],1)+COUNTIF(Tabell2[REACH (prioritetslisten, kandidatlisten)],2)</totalsRowFormula>
    </tableColumn>
    <tableColumn id="58" xr3:uid="{A3E93B38-CDE1-4AD8-B109-0E78570ADF7E}" name="Produkt-forskriften" totalsRowFunction="custom" dataDxfId="37" totalsRowDxfId="36">
      <totalsRowFormula>+COUNTIF(Tabell2[Produkt-forskriften],1)+COUNTIF(Tabell2[Produkt-forskriften],2)</totalsRowFormula>
    </tableColumn>
    <tableColumn id="59" xr3:uid="{86B0F08C-E9D8-409C-856A-F90BAA005FEC}" name="CLP-forordningen kjemikalier klassifisert etter faresetninger i CLP" totalsRowFunction="custom" dataDxfId="35" totalsRowDxfId="34">
      <totalsRowFormula>+COUNTIF(Tabell2[CLP-forordningen kjemikalier klassifisert etter faresetninger i CLP],1)+COUNTIF(Tabell2[CLP-forordningen kjemikalier klassifisert etter faresetninger i CLP],2)</totalsRowFormula>
    </tableColumn>
    <tableColumn id="60" xr3:uid="{F11C3356-23A2-4CF9-878D-0CE97B054095}" name="VOC" totalsRowFunction="custom" dataDxfId="33" totalsRowDxfId="32">
      <totalsRowFormula>+COUNTIF(Tabell2[VOC],1)+COUNTIF(Tabell2[VOC],2)</totalsRowFormula>
    </tableColumn>
    <tableColumn id="61" xr3:uid="{6B07C33D-D983-45FF-B6FD-86C7F1D80DC4}" name="Formaldehyd" totalsRowFunction="custom" dataDxfId="31" totalsRowDxfId="30">
      <totalsRowFormula>+COUNTIF(Tabell2[Formaldehyd],1)+COUNTIF(Tabell2[Formaldehyd],2)</totalsRowFormula>
    </tableColumn>
    <tableColumn id="62" xr3:uid="{77E77EC8-9FB0-4738-8570-19E73410157F}" name="Flammehemmere" totalsRowFunction="custom" dataDxfId="29" totalsRowDxfId="28">
      <totalsRowFormula>+COUNTIF(Tabell2[Flammehemmere],1)+COUNTIF(Tabell2[Flammehemmere],2)</totalsRowFormula>
    </tableColumn>
    <tableColumn id="63" xr3:uid="{FAE7DF19-079E-401F-A314-8C189CC5740D}" name="PVC" totalsRowFunction="custom" dataDxfId="27" totalsRowDxfId="26">
      <totalsRowFormula>+COUNTIF(Tabell2[PVC],1)+COUNTIF(Tabell2[PVC],2)</totalsRowFormula>
    </tableColumn>
    <tableColumn id="64" xr3:uid="{EB2CADBF-C0B4-41DD-AB62-0A08F88FBF85}" name="Tungmetaller" totalsRowFunction="custom" dataDxfId="25" totalsRowDxfId="24">
      <totalsRowFormula>+COUNTIF(Tabell2[Tungmetaller],1)+COUNTIF(Tabell2[Tungmetaller],2)</totalsRowFormula>
    </tableColumn>
    <tableColumn id="65" xr3:uid="{30C83E2E-86E9-40E5-B771-0C510C5DBD63}" name="Kvikksølv" totalsRowFunction="custom" dataDxfId="23" totalsRowDxfId="22">
      <totalsRowFormula>+COUNTIF(Tabell2[Kvikksølv],1)+COUNTIF(Tabell2[Kvikksølv],2)</totalsRowFormula>
    </tableColumn>
    <tableColumn id="66" xr3:uid="{26EC2ACC-B817-40B0-8BB4-ED67C0DE7418}" name="Krom (både 3/III og 6/IV)" totalsRowFunction="custom" dataDxfId="21" totalsRowDxfId="20">
      <totalsRowFormula>+COUNTIF(Tabell2[Krom (både 3/III og 6/IV)],1)+COUNTIF(Tabell2[Krom (både 3/III og 6/IV)],2)</totalsRowFormula>
    </tableColumn>
    <tableColumn id="67" xr3:uid="{BD24DF77-57AA-4FC0-B51E-3269F3C58AFB}" name="Bly" totalsRowFunction="custom" dataDxfId="19" totalsRowDxfId="18">
      <totalsRowFormula>+COUNTIF(Tabell2[Bly],1)+COUNTIF(Tabell2[Bly],2)</totalsRowFormula>
    </tableColumn>
    <tableColumn id="68" xr3:uid="{D1572B6A-86E4-4E49-85B6-12419DFAE037}" name="Kadmium" totalsRowFunction="custom" dataDxfId="17" totalsRowDxfId="16">
      <totalsRowFormula>+COUNTIF(Tabell2[Kadmium],1)+COUNTIF(Tabell2[Kadmium],2)</totalsRowFormula>
    </tableColumn>
    <tableColumn id="69" xr3:uid="{5CD60C5D-5831-42CF-A475-8E395433CDB9}" name="Tinn" totalsRowFunction="custom" dataDxfId="15" totalsRowDxfId="14">
      <totalsRowFormula>+COUNTIF(Tabell2[Tinn],1)+COUNTIF(Tabell2[Tinn],2)</totalsRowFormula>
    </tableColumn>
    <tableColumn id="70" xr3:uid="{C0AD1BF0-EA99-44A2-9612-1C1794E67DAD}" name="Sosiale hensyn og menneske-rettigheter er inkludert" totalsRowFunction="custom" dataDxfId="13" totalsRowDxfId="12">
      <totalsRowFormula>+COUNTIF(Tabell2[Sosiale hensyn og menneske-rettigheter er inkludert],1)+COUNTIF(Tabell2[Sosiale hensyn og menneske-rettigheter er inkludert],2)</totalsRowFormula>
    </tableColumn>
    <tableColumn id="71" xr3:uid="{04B4A2DF-AB40-44F9-BE0F-123DB993036E}" name="Menneske-rettigheter som tildelingskriterium" totalsRowFunction="custom" dataDxfId="11" totalsRowDxfId="10" dataCellStyle="Hyperkobling">
      <totalsRowFormula>+COUNTIF(Tabell2[Menneske-rettigheter som tildelingskriterium],1)+COUNTIF(Tabell2[Menneske-rettigheter som tildelingskriterium],2)</totalsRowFormula>
    </tableColumn>
    <tableColumn id="72" xr3:uid="{C985F7FD-F301-4E0A-9CB9-E5AF20052B0F}" name="Menneske-rettigheter som kontraktsvilkår" totalsRowFunction="custom" dataDxfId="9" totalsRowDxfId="8" dataCellStyle="Hyperkobling">
      <totalsRowFormula>+COUNTIF(Tabell2[Menneske-rettigheter som kontraktsvilkår],1)+COUNTIF(Tabell2[Menneske-rettigheter som kontraktsvilkår],2)</totalsRowFormula>
    </tableColumn>
    <tableColumn id="73" xr3:uid="{FDB82C13-9CBD-4BE6-84AC-CDC1F60C802B}" name="Menneske-rettigheter som kvalifikasjonskrav" totalsRowFunction="custom" dataDxfId="7" totalsRowDxfId="6" dataCellStyle="Hyperkobling">
      <totalsRowFormula>+COUNTIF(Tabell2[Menneske-rettigheter som kvalifikasjonskrav],1)+COUNTIF(Tabell2[Menneske-rettigheter som kvalifikasjonskrav],2)</totalsRowFormula>
    </tableColumn>
    <tableColumn id="74" xr3:uid="{5E762BCB-7138-4A19-88E3-57AEC2F7953C}" name="Menneske-rettigheter som kravspesifikasjon" totalsRowFunction="custom" dataDxfId="5" totalsRowDxfId="4" dataCellStyle="Hyperkobling">
      <totalsRowFormula>+COUNTIF(Tabell2[Menneske-rettigheter som kravspesifikasjon],1)+COUNTIF(Tabell2[Menneske-rettigheter som kravspesifikasjon],2)</totalsRowFormula>
    </tableColumn>
    <tableColumn id="75" xr3:uid="{C4D66525-4427-48A6-AA21-B9EB9F3DC204}" name="Dokumentnavn" dataDxfId="3" totalsRowDxfId="2" dataCellStyle="Hyperkobling"/>
    <tableColumn id="76" xr3:uid="{1177A87B-34DA-421D-8761-6F4FBD8611D3}" name="Kommentarer" dataDxfId="1" totalsRowDxfId="0"/>
  </tableColumns>
  <tableStyleInfo name="TableStyleMedium2"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mailto:elin.mathisen.saether@inderoy.kommune.no" TargetMode="External"/><Relationship Id="rId117" Type="http://schemas.openxmlformats.org/officeDocument/2006/relationships/hyperlink" Target="https://www.mercell.com/nb-no/anbud/153950415/moebler-og-inventar-til-utdanningsdirektoratets-nye-lokaler-i-molde-anbud.aspx" TargetMode="External"/><Relationship Id="rId21" Type="http://schemas.openxmlformats.org/officeDocument/2006/relationships/hyperlink" Target="../../../../../../:f:/r/sites/Grnneanskaffelser/Shared%20Documents/M%C3%B8bler/Statistikk%20og%20m%C3%A5ling/M%C3%A5ling%202022%20-%20Hedda/Konkurransegrunnlag/Konkurransegrunnlag%202021/Grenlandkommunenes%20Innkj%C3%B8psenhet%20-%2021.04.2021?csf=1&amp;web=1&amp;e=LQXhmp" TargetMode="External"/><Relationship Id="rId42" Type="http://schemas.openxmlformats.org/officeDocument/2006/relationships/hyperlink" Target="https://www.mercell.com/nb-no/anbud/167159464/rammeavtale-kjoep-av-moebler-og-inventar-til-kontor-og-sosiale-soner-anbud.aspx" TargetMode="External"/><Relationship Id="rId47" Type="http://schemas.openxmlformats.org/officeDocument/2006/relationships/hyperlink" Target="mailto:frida.johannessen@kristiansand.kommune.no" TargetMode="External"/><Relationship Id="rId63" Type="http://schemas.openxmlformats.org/officeDocument/2006/relationships/hyperlink" Target="mailto:aniv@norceresearch.no" TargetMode="External"/><Relationship Id="rId68" Type="http://schemas.openxmlformats.org/officeDocument/2006/relationships/hyperlink" Target="mailto:hege.lund@politiet.no" TargetMode="External"/><Relationship Id="rId84" Type="http://schemas.openxmlformats.org/officeDocument/2006/relationships/hyperlink" Target="mailto:kjersti.fosse@statsforvalteren.no" TargetMode="External"/><Relationship Id="rId89" Type="http://schemas.openxmlformats.org/officeDocument/2006/relationships/hyperlink" Target="mailto:innkjop.postmottak@stortinget.no" TargetMode="External"/><Relationship Id="rId112" Type="http://schemas.openxmlformats.org/officeDocument/2006/relationships/hyperlink" Target="../../../../../../:w:/r/sites/Grnneanskaffelser/Shared%20Documents/M%C3%B8bler/Statistikk%20og%20m%C3%A5ling/M%C3%A5ling%202022%20-%20Hedda/Konkurransegrunnlag/Konkurransegrunnlag%202021/Troms%C3%B8%20kommune%20-%2006.05.2021/Vedlegg%204%20Alminnelige%20kontraktsbestemmelser%20for%20varekj%C3%B8p.docx?d=w27826c50206e4888a4f2c4952107b02d&amp;csf=1&amp;web=1&amp;e=s7CqRC" TargetMode="External"/><Relationship Id="rId133" Type="http://schemas.openxmlformats.org/officeDocument/2006/relationships/hyperlink" Target="../../../../../../:f:/r/sites/Grnneanskaffelser/Shared%20Documents/M%C3%B8bler/Statistikk%20og%20m%C3%A5ling/M%C3%A5ling%202022%20-%20Hedda/Konkurransegrunnlag/Konkurransegrunnlag%202021/%C3%85lesund%20kommune%20-%20kontorstoler%202%20utlysninger/%C3%85lesund%20kommune%20-%2028.03.2021?csf=1&amp;web=1&amp;e=IXku4A" TargetMode="External"/><Relationship Id="rId138" Type="http://schemas.openxmlformats.org/officeDocument/2006/relationships/hyperlink" Target="../../../../../../:b:/r/sites/Grnneanskaffelser/Shared%20Documents/M%C3%B8bler/Statistikk%20og%20m%C3%A5ling/M%C3%A5ling%202022%20-%20Hedda/Konkurransegrunnlag/Konkurransegrunnlag%202021/%C3%85lesund%20kommune%20-%20kontorstoler%202%20utlysninger/KANSELLERT%20%C3%85lesund%20kommune%20-%2024.01.2021/Publisert%20konkurransegrunnlag.pdf?csf=1&amp;web=1&amp;e=raZXAu" TargetMode="External"/><Relationship Id="rId16" Type="http://schemas.openxmlformats.org/officeDocument/2006/relationships/hyperlink" Target="https://www.mercell.com/nb-no/anbud/164477699/for-060-2021-arkivreoler-til-bergen-byarkiv-3-utlysning-anbud.aspx" TargetMode="External"/><Relationship Id="rId107" Type="http://schemas.openxmlformats.org/officeDocument/2006/relationships/hyperlink" Target="mailto:anskaffelse@tffk.no" TargetMode="External"/><Relationship Id="rId11" Type="http://schemas.openxmlformats.org/officeDocument/2006/relationships/hyperlink" Target="mailto:laila.hope@bergen.kommune.no" TargetMode="External"/><Relationship Id="rId32" Type="http://schemas.openxmlformats.org/officeDocument/2006/relationships/hyperlink" Target="https://eu.eu-supply.com/app/rfq/publicpurchase_docs.asp?PID=294150&amp;LID=345247&amp;AllowPrint=1" TargetMode="External"/><Relationship Id="rId37" Type="http://schemas.openxmlformats.org/officeDocument/2006/relationships/hyperlink" Target="../../../../../../:w:/r/sites/Grnneanskaffelser/Shared%20Documents/M%C3%B8bler/Statistikk%20og%20m%C3%A5ling/M%C3%A5ling%202022%20-%20Hedda/Konkurransegrunnlag/Konkurransegrunnlag%202021/Innovasjon%20Norge%20-%2016.12.2021/Alminnelige%20avtalevilk%C3%A5r.docx?d=we429a9e3e57040f4910887eb4f64af05&amp;csf=1&amp;web=1&amp;e=Suh1eB" TargetMode="External"/><Relationship Id="rId53" Type="http://schemas.openxmlformats.org/officeDocument/2006/relationships/hyperlink" Target="mailto:post@met.no" TargetMode="External"/><Relationship Id="rId58" Type="http://schemas.openxmlformats.org/officeDocument/2006/relationships/hyperlink" Target="mailto:snorre.strandrud@nb.no" TargetMode="External"/><Relationship Id="rId74" Type="http://schemas.openxmlformats.org/officeDocument/2006/relationships/hyperlink" Target="mailto:tor.kristian@innkjopskontoret.no" TargetMode="External"/><Relationship Id="rId79" Type="http://schemas.openxmlformats.org/officeDocument/2006/relationships/hyperlink" Target="../../../../../../:f:/r/sites/Grnneanskaffelser/Shared%20Documents/M%C3%B8bler/Statistikk%20og%20m%C3%A5ling/M%C3%A5ling%202022%20-%20Hedda/Konkurransegrunnlag/Konkurransegrunnlag%202021/Statens%20arbeidsmilj%C3%B8institutt%20-%2014.02.2021?csf=1&amp;web=1&amp;e=gtE7Vy" TargetMode="External"/><Relationship Id="rId102" Type="http://schemas.openxmlformats.org/officeDocument/2006/relationships/hyperlink" Target="../../../../../../:b:/r/sites/Grnneanskaffelser/Shared%20Documents/M%C3%B8bler/Statistikk%20og%20m%C3%A5ling/M%C3%A5ling%202022%20-%20Hedda/Konkurransegrunnlag/Konkurransegrunnlag%202021/Stortinget%20-%2017.06.2021/Bilag%207%20Kontraktsvilk%C3%A5r%20for%20ivaretakelse%20av%20grunnleggende%20menneskerettigheter%20i%20leverand%C3%B8rkjeden.pdf?csf=1&amp;web=1&amp;e=tnkI8p" TargetMode="External"/><Relationship Id="rId123" Type="http://schemas.openxmlformats.org/officeDocument/2006/relationships/hyperlink" Target="../../../../../../:b:/r/sites/Grnneanskaffelser/Shared%20Documents/M%C3%B8bler/Statistikk%20og%20m%C3%A5ling/M%C3%A5ling%202022%20-%20Hedda/Konkurransegrunnlag/Konkurransegrunnlag%202021/Utlendingsnemnda%20-%2018.10.2021/Kunngjort%20konkurransegrunnlag.pdf?csf=1&amp;web=1&amp;e=qKMtvg" TargetMode="External"/><Relationship Id="rId128" Type="http://schemas.openxmlformats.org/officeDocument/2006/relationships/hyperlink" Target="mailto:nils.lindeberg@asnes.kommune.no" TargetMode="External"/><Relationship Id="rId144" Type="http://schemas.openxmlformats.org/officeDocument/2006/relationships/printerSettings" Target="../printerSettings/printerSettings1.bin"/><Relationship Id="rId5" Type="http://schemas.openxmlformats.org/officeDocument/2006/relationships/hyperlink" Target="https://www.mercell.com/nb-no/anbud/154300504/for-015-2021-arkivreoler-til-byarkivet-anbud.aspx" TargetMode="External"/><Relationship Id="rId90" Type="http://schemas.openxmlformats.org/officeDocument/2006/relationships/hyperlink" Target="mailto:innkjop.postmottak@stortinget.no" TargetMode="External"/><Relationship Id="rId95" Type="http://schemas.openxmlformats.org/officeDocument/2006/relationships/hyperlink" Target="mailto:post@sykehusinnkjop.no" TargetMode="External"/><Relationship Id="rId22" Type="http://schemas.openxmlformats.org/officeDocument/2006/relationships/hyperlink" Target="../../../../../../:b:/r/sites/Grnneanskaffelser/Shared%20Documents/M%C3%B8bler/Statistikk%20og%20m%C3%A5ling/M%C3%A5ling%202022%20-%20Hedda/Konkurransegrunnlag/Konkurransegrunnlag%202021/Grenlandkommunenes%20Innkj%C3%B8psenhet%20-%2021.04.2021/Konkurransegrunnlag.pdf?csf=1&amp;web=1&amp;e=GZx4KM" TargetMode="External"/><Relationship Id="rId27" Type="http://schemas.openxmlformats.org/officeDocument/2006/relationships/hyperlink" Target="../../../../../../:f:/r/sites/Grnneanskaffelser/Shared%20Documents/M%C3%B8bler/Statistikk%20og%20m%C3%A5ling/M%C3%A5ling%202022%20-%20Hedda/Konkurransegrunnlag/Konkurransegrunnlag%202021/Inder%C3%B8y%20kommune%20-%2020.03.2021?csf=1&amp;web=1&amp;e=PR9ac5" TargetMode="External"/><Relationship Id="rId43" Type="http://schemas.openxmlformats.org/officeDocument/2006/relationships/hyperlink" Target="../../../../../../:w:/r/sites/Grnneanskaffelser/Shared%20Documents/M%C3%B8bler/Statistikk%20og%20m%C3%A5ling/M%C3%A5ling%202022%20-%20Hedda/Konkurransegrunnlag/Konkurransegrunnlag%202021/Kristiansand%20Kommune%20(m%C3%B8bler%20og%20inventar%20til%20kontor%20og%20sosiale%20soner)%20-%2014.11.2021/Vedlegg%204%20-%20Avtaledokument.docx?d=wf9d43df2d4c34f5aaeff858cde9d8c3d&amp;csf=1&amp;web=1&amp;e=pDwYsq" TargetMode="External"/><Relationship Id="rId48" Type="http://schemas.openxmlformats.org/officeDocument/2006/relationships/hyperlink" Target="mailto:frida.johannessen@kristiansand.kommune.no" TargetMode="External"/><Relationship Id="rId64" Type="http://schemas.openxmlformats.org/officeDocument/2006/relationships/hyperlink" Target="../../../../../../:w:/r/sites/Grnneanskaffelser/Shared%20Documents/M%C3%B8bler/Statistikk%20og%20m%C3%A5ling/M%C3%A5ling%202022%20-%20Hedda/Konkurransegrunnlag/Konkurransegrunnlag%202021/NORCE%20Norwegian%20Research%20Centre%20AS%20-%2007.01.2021/Bilag%203%20-%2010.docx?d=w851df837d59c45a0bc29912a3af0b313&amp;csf=1&amp;web=1&amp;e=li0aNE" TargetMode="External"/><Relationship Id="rId69" Type="http://schemas.openxmlformats.org/officeDocument/2006/relationships/hyperlink" Target="mailto:anmaritr@oslomet.no" TargetMode="External"/><Relationship Id="rId113" Type="http://schemas.openxmlformats.org/officeDocument/2006/relationships/hyperlink" Target="mailto:flet@trondheim.kommune.no" TargetMode="External"/><Relationship Id="rId118" Type="http://schemas.openxmlformats.org/officeDocument/2006/relationships/hyperlink" Target="mailto:karlpetter@innkjopskontoret.no" TargetMode="External"/><Relationship Id="rId134" Type="http://schemas.openxmlformats.org/officeDocument/2006/relationships/hyperlink" Target="../../../../../../:f:/r/sites/Grnneanskaffelser/Shared%20Documents/M%C3%B8bler/Statistikk%20og%20m%C3%A5ling/M%C3%A5ling%202022%20-%20Hedda/Konkurransegrunnlag/Konkurransegrunnlag%202021/%C3%85lesund%20kommune%20-%20kontorstoler%202%20utlysninger/KANSELLERT%20%C3%85lesund%20kommune%20-%2024.01.2021?csf=1&amp;web=1&amp;e=rmGQan" TargetMode="External"/><Relationship Id="rId139" Type="http://schemas.openxmlformats.org/officeDocument/2006/relationships/hyperlink" Target="../../../../../../:b:/r/sites/Grnneanskaffelser/Shared%20Documents/M%C3%B8bler/Statistikk%20og%20m%C3%A5ling/M%C3%A5ling%202022%20-%20Hedda/Konkurransegrunnlag/Konkurransegrunnlag%202021/%C3%85lesund%20kommune%20-%20kontorstoler%202%20utlysninger/KANSELLERT%20%C3%85lesund%20kommune%20-%2024.01.2021/Publisert%20konkurransegrunnlag.pdf?csf=1&amp;web=1&amp;e=raZXAu" TargetMode="External"/><Relationship Id="rId80" Type="http://schemas.openxmlformats.org/officeDocument/2006/relationships/hyperlink" Target="mailto:jakob.dreyer@rana.kommune.no" TargetMode="External"/><Relationship Id="rId85" Type="http://schemas.openxmlformats.org/officeDocument/2006/relationships/hyperlink" Target="mailto:stina.sel@stavanger.kommune.no" TargetMode="External"/><Relationship Id="rId3" Type="http://schemas.openxmlformats.org/officeDocument/2006/relationships/hyperlink" Target="../../../../../../:b:/r/sites/Grnneanskaffelser/Shared%20Documents/M%C3%B8bler/Statistikk%20og%20m%C3%A5ling/M%C3%A5ling%202022%20-%20Hedda/Konkurransegrunnlag/Konkurransegrunnlag%202021/Anno%20Museum%20AS%20-%2021.05.2021/ANNO-21-01%20Konkurransegrunnlag.pdf?csf=1&amp;web=1&amp;e=sZLsCn" TargetMode="External"/><Relationship Id="rId12" Type="http://schemas.openxmlformats.org/officeDocument/2006/relationships/hyperlink" Target="https://www.mercell.com/nb-no/anbud/149738996/eoes-004-2021-kontormoebler-anbud.aspx" TargetMode="External"/><Relationship Id="rId17" Type="http://schemas.openxmlformats.org/officeDocument/2006/relationships/hyperlink" Target="https://www.mercell.com/nb-no/anbud/148112511/rammeavtale-moebler-og-inventar-anbud.aspx" TargetMode="External"/><Relationship Id="rId25" Type="http://schemas.openxmlformats.org/officeDocument/2006/relationships/hyperlink" Target="../../../../../../:b:/r/sites/Grnneanskaffelser/Shared%20Documents/M%C3%B8bler/Statistikk%20og%20m%C3%A5ling/M%C3%A5ling%202022%20-%20Hedda/Konkurransegrunnlag/Konkurransegrunnlag%202021/H%C3%B8gskulen%20i%20Volda%20-%2022.04.2021/Bilag%205%20-%20Etiske%20krav%20-%20Difi%20mal.pdf?csf=1&amp;web=1&amp;e=pCwB5E" TargetMode="External"/><Relationship Id="rId33" Type="http://schemas.openxmlformats.org/officeDocument/2006/relationships/hyperlink" Target="mailto:daniel.tran.huynh@innovasjonnorge.no" TargetMode="External"/><Relationship Id="rId38" Type="http://schemas.openxmlformats.org/officeDocument/2006/relationships/hyperlink" Target="../../../../../../:b:/r/sites/Grnneanskaffelser/Shared%20Documents/M%C3%B8bler/Statistikk%20og%20m%C3%A5ling/M%C3%A5ling%202022%20-%20Hedda/Konkurransegrunnlag/Konkurransegrunnlag%202021/Jernbanedirektoratet%20-%2011.03.2021/Bilag%205%20Etiske%20krav.pdf?csf=1&amp;web=1&amp;e=UD9sjJ" TargetMode="External"/><Relationship Id="rId46" Type="http://schemas.openxmlformats.org/officeDocument/2006/relationships/hyperlink" Target="https://www.mercell.com/nb-no/anbud/167169876/rammeavtale-kjoep-av-moebler-og-inventar-til-institusjon-anbud.aspx" TargetMode="External"/><Relationship Id="rId59" Type="http://schemas.openxmlformats.org/officeDocument/2006/relationships/hyperlink" Target="https://www.mercell.com/nb-no/anbud/166869062/hengemapper-anbud.aspx" TargetMode="External"/><Relationship Id="rId67" Type="http://schemas.openxmlformats.org/officeDocument/2006/relationships/hyperlink" Target="../../../../../../:w:/r/sites/Grnneanskaffelser/Shared%20Documents/M%C3%B8bler/Statistikk%20og%20m%C3%A5ling/M%C3%A5ling%202022%20-%20Hedda/Konkurransegrunnlag/Konkurransegrunnlag%202021/Norsk%20Helsenett%20SF%20-%2020.05.2021/21-01279%20Alminnelige%20kontraktsvilk%C3%A5r%20for%20varekj%C3%B8p.docx?d=wc20a4524699f4110b4719cbe4cc7c8fd&amp;csf=1&amp;web=1&amp;e=EdBthh" TargetMode="External"/><Relationship Id="rId103" Type="http://schemas.openxmlformats.org/officeDocument/2006/relationships/hyperlink" Target="../../../../../../:w:/r/sites/Grnneanskaffelser/Shared%20Documents/M%C3%B8bler/Statistikk%20og%20m%C3%A5ling/M%C3%A5ling%202022%20-%20Hedda/Konkurransegrunnlag/Konkurransegrunnlag%202021/Sykehusinnkj%C3%B8p%20HF%20-%2013.04.2021/Vedlegg%20Svarskjema%20etisk%20handel.docx?d=w2bdb75275bb1481da059e1c74ed981da&amp;csf=1&amp;web=1&amp;e=0oPox1" TargetMode="External"/><Relationship Id="rId108" Type="http://schemas.openxmlformats.org/officeDocument/2006/relationships/hyperlink" Target="https://www.mercell.com/nb-no/anbud/166910604/konkurranse-paa-kjoep-av-inventar-til-arbeidsrom-anbud.aspx" TargetMode="External"/><Relationship Id="rId116" Type="http://schemas.openxmlformats.org/officeDocument/2006/relationships/hyperlink" Target="mailto:mads.aure@utdanningsdirektoratet.no" TargetMode="External"/><Relationship Id="rId124" Type="http://schemas.openxmlformats.org/officeDocument/2006/relationships/hyperlink" Target="mailto:magne.haslevang@vagan.kommune.no" TargetMode="External"/><Relationship Id="rId129" Type="http://schemas.openxmlformats.org/officeDocument/2006/relationships/hyperlink" Target="https://www.mercell.com/nb-no/anbud/148781272/kontormoebler-og-inventar-familiens-hus-aasnes-kommune-anbud.aspx" TargetMode="External"/><Relationship Id="rId137" Type="http://schemas.openxmlformats.org/officeDocument/2006/relationships/hyperlink" Target="../../../../../../:f:/r/sites/Grnneanskaffelser/Shared%20Documents/M%C3%B8bler/Statistikk%20og%20m%C3%A5ling/M%C3%A5ling%202022%20-%20Hedda/Konkurransegrunnlag/Konkurransegrunnlag%202021/%C3%85lesund%20kommune%20-%20kontorstoler%202%20utlysninger/KANSELLERT%20%C3%85lesund%20kommune%20-%2024.01.2021?csf=1&amp;web=1&amp;e=rmGQan" TargetMode="External"/><Relationship Id="rId20" Type="http://schemas.openxmlformats.org/officeDocument/2006/relationships/hyperlink" Target="mailto:ninaelisabethsorensen.rybraten@skien.kommune.no" TargetMode="External"/><Relationship Id="rId41" Type="http://schemas.openxmlformats.org/officeDocument/2006/relationships/hyperlink" Target="mailto:frida.johannessen@kristiansand.kommune.no" TargetMode="External"/><Relationship Id="rId54" Type="http://schemas.openxmlformats.org/officeDocument/2006/relationships/hyperlink" Target="https://www.mercell.com/nb-no/anbud/165210618/rammeavtale-for-kjoep-av-moebler-og-inventar---del-iii--anbud.aspx" TargetMode="External"/><Relationship Id="rId62" Type="http://schemas.openxmlformats.org/officeDocument/2006/relationships/hyperlink" Target="https://www.mercell.com/nb-no/anbud/146641908/rammeavtale-paa-nye-moebler-og-inventar-for-norce-norwegian-research-centre-as-anbud.aspx" TargetMode="External"/><Relationship Id="rId70" Type="http://schemas.openxmlformats.org/officeDocument/2006/relationships/hyperlink" Target="../../../../../../:f:/r/sites/Grnneanskaffelser/Shared%20Documents/M%C3%B8bler/Statistikk%20og%20m%C3%A5ling/M%C3%A5ling%202022%20-%20Hedda/Konkurransegrunnlag/Konkurransegrunnlag%202021/Politiets%20Fellestjenester%20-%2007.02.2021?csf=1&amp;web=1&amp;e=l0EqPM" TargetMode="External"/><Relationship Id="rId75" Type="http://schemas.openxmlformats.org/officeDocument/2006/relationships/hyperlink" Target="mailto:toe@sdir.no" TargetMode="External"/><Relationship Id="rId83" Type="http://schemas.openxmlformats.org/officeDocument/2006/relationships/hyperlink" Target="../../../../../../:b:/r/sites/Grnneanskaffelser/Shared%20Documents/M%C3%B8bler/Statistikk%20og%20m%C3%A5ling/M%C3%A5ling%202022%20-%20Hedda/Konkurransegrunnlag/Konkurransegrunnlag%202021/Statens%20vegvesen%20-%2005.03.2021/Kontraktsbetemmelser.pdf?csf=1&amp;web=1&amp;e=LDNf2Q" TargetMode="External"/><Relationship Id="rId88" Type="http://schemas.openxmlformats.org/officeDocument/2006/relationships/hyperlink" Target="../../../../../../:b:/r/sites/Grnneanskaffelser/Shared%20Documents/M%C3%B8bler/Statistikk%20og%20m%C3%A5ling/M%C3%A5ling%202022%20-%20Hedda/Konkurransegrunnlag/Konkurransegrunnlag%202021/Stavanger%20kommune%20-%2002.05.2021/Generelle%20avtalevilk%C3%A5r.pdf?csf=1&amp;web=1&amp;e=9E4mXz" TargetMode="External"/><Relationship Id="rId91" Type="http://schemas.openxmlformats.org/officeDocument/2006/relationships/hyperlink" Target="https://www.mercell.com/nb-no/anbud/154342053/miljoe--moeteromsmoebler-og-kontorstoler-anbud.aspx" TargetMode="External"/><Relationship Id="rId96" Type="http://schemas.openxmlformats.org/officeDocument/2006/relationships/hyperlink" Target="mailto:post@sykehusinnkjop.no" TargetMode="External"/><Relationship Id="rId111" Type="http://schemas.openxmlformats.org/officeDocument/2006/relationships/hyperlink" Target="../../../../../../:b:/r/sites/Grnneanskaffelser/Shared%20Documents/M%C3%B8bler/Statistikk%20og%20m%C3%A5ling/M%C3%A5ling%202022%20-%20Hedda/Konkurransegrunnlag/Konkurransegrunnlag%202021/Troms%20og%20Finnmark%20Fylkeskommune%20-%2018.11.2021/Vedlegg%203%20-%20Alminnelige%20Kontraktsvilk%C3%A5r-varer.pdf?csf=1&amp;web=1&amp;e=9aepki" TargetMode="External"/><Relationship Id="rId132" Type="http://schemas.openxmlformats.org/officeDocument/2006/relationships/hyperlink" Target="mailto:gina.olsnes@alesund.kommune.no" TargetMode="External"/><Relationship Id="rId140" Type="http://schemas.openxmlformats.org/officeDocument/2006/relationships/hyperlink" Target="../../../../../../:b:/r/sites/Grnneanskaffelser/Shared%20Documents/M%C3%B8bler/Statistikk%20og%20m%C3%A5ling/M%C3%A5ling%202022%20-%20Hedda/Konkurransegrunnlag/Konkurransegrunnlag%202021/%C3%85lesund%20kommune%20-%20kontorstoler%202%20utlysninger/%C3%85lesund%20kommune%20-%2028.03.2021/KKG%20-%20kontorstoler.pdf?csf=1&amp;web=1&amp;e=6vAAfQ" TargetMode="External"/><Relationship Id="rId145" Type="http://schemas.openxmlformats.org/officeDocument/2006/relationships/table" Target="../tables/table1.xml"/><Relationship Id="rId1" Type="http://schemas.openxmlformats.org/officeDocument/2006/relationships/hyperlink" Target="https://www.mercell.com/nb-no/anbud/156444182/anno-21-01-moebler--anbud.aspx" TargetMode="External"/><Relationship Id="rId6" Type="http://schemas.openxmlformats.org/officeDocument/2006/relationships/hyperlink" Target="mailto:adnan.birdzo@bergen.kommune.no" TargetMode="External"/><Relationship Id="rId15" Type="http://schemas.openxmlformats.org/officeDocument/2006/relationships/hyperlink" Target="mailto:adnan.birdzo@bergen.kommune.no" TargetMode="External"/><Relationship Id="rId23" Type="http://schemas.openxmlformats.org/officeDocument/2006/relationships/hyperlink" Target="mailto:karen.otterstad@hivolda.no" TargetMode="External"/><Relationship Id="rId28" Type="http://schemas.openxmlformats.org/officeDocument/2006/relationships/hyperlink" Target="../../../../../../:b:/r/sites/Grnneanskaffelser/Shared%20Documents/M%C3%B8bler/Statistikk%20og%20m%C3%A5ling/M%C3%A5ling%202022%20-%20Hedda/Konkurransegrunnlag/Konkurransegrunnlag%202021/Inder%C3%B8y%20kommune%20-%2020.03.2021/Konkurransedokumenter.pdf?csf=1&amp;web=1&amp;e=7WQhLK" TargetMode="External"/><Relationship Id="rId36" Type="http://schemas.openxmlformats.org/officeDocument/2006/relationships/hyperlink" Target="https://eu.eu-supply.com/app/rfq/publicpurchase_docs.asp?PID=304616&amp;LID=357449&amp;AllowPrint=1" TargetMode="External"/><Relationship Id="rId49" Type="http://schemas.openxmlformats.org/officeDocument/2006/relationships/hyperlink" Target="https://www.mercell.com/nb-no/anbud/166082578/rammeavtale-kjoep-av-moebler-og-inventar-til-barnehage-anbud.aspx" TargetMode="External"/><Relationship Id="rId57" Type="http://schemas.openxmlformats.org/officeDocument/2006/relationships/hyperlink" Target="https://www.mercell.com/nb-no/anbud/147559377/2100031-rammeavtale-for-kjoep-av-nye-kontormoebler-og-tilstoetende-moeblement-anbud.aspx" TargetMode="External"/><Relationship Id="rId106" Type="http://schemas.openxmlformats.org/officeDocument/2006/relationships/hyperlink" Target="https://www.mercell.com/nb-no/anbud/156557195/konkurranse-kjoep-av-moebler-og-inventar-til-tannbygget---tilbygg-anbud.aspx" TargetMode="External"/><Relationship Id="rId114" Type="http://schemas.openxmlformats.org/officeDocument/2006/relationships/hyperlink" Target="https://www.mercell.com/nb-no/anbud/151524596/deltilbud-c-kontormoebler-anbud.aspx" TargetMode="External"/><Relationship Id="rId119" Type="http://schemas.openxmlformats.org/officeDocument/2006/relationships/hyperlink" Target="../../../../../../:f:/r/sites/Grnneanskaffelser/Shared%20Documents/M%C3%B8bler/Statistikk%20og%20m%C3%A5ling/M%C3%A5ling%202022%20-%20Hedda/Konkurransegrunnlag/Konkurransegrunnlag%202021/Utlendingsnemnda%20-%2018.10.2021?csf=1&amp;web=1&amp;e=UVQYc3" TargetMode="External"/><Relationship Id="rId127" Type="http://schemas.openxmlformats.org/officeDocument/2006/relationships/hyperlink" Target="https://www.mercell.com/nb-no/anbud/151956604/inventar-elvelund-2-anbud.aspx" TargetMode="External"/><Relationship Id="rId10" Type="http://schemas.openxmlformats.org/officeDocument/2006/relationships/hyperlink" Target="mailto:elin.mathisen.saether@inderoy.kommune.no" TargetMode="External"/><Relationship Id="rId31" Type="http://schemas.openxmlformats.org/officeDocument/2006/relationships/hyperlink" Target="mailto:arild.bakke@jernbanedirektoratet.no" TargetMode="External"/><Relationship Id="rId44" Type="http://schemas.openxmlformats.org/officeDocument/2006/relationships/hyperlink" Target="mailto:elina.bjerkestrand@kristiansund.kommune.no" TargetMode="External"/><Relationship Id="rId52" Type="http://schemas.openxmlformats.org/officeDocument/2006/relationships/hyperlink" Target="../../../../../../:b:/r/sites/Grnneanskaffelser/Shared%20Documents/M%C3%B8bler/Statistikk%20og%20m%C3%A5ling/M%C3%A5ling%202022%20-%20Hedda/Konkurransegrunnlag/Konkurransegrunnlag%202021/Kristiansund%20kommune%20-%2024.01.2021/KONKURRANSEGRUNNLAG%20M%C3%B8bler.pdf?csf=1&amp;web=1&amp;e=v9LOZu" TargetMode="External"/><Relationship Id="rId60" Type="http://schemas.openxmlformats.org/officeDocument/2006/relationships/hyperlink" Target="mailto:olaf.nilsen@nordreisa.kommune.no" TargetMode="External"/><Relationship Id="rId65" Type="http://schemas.openxmlformats.org/officeDocument/2006/relationships/hyperlink" Target="mailto:anskaffelser@nhn.no" TargetMode="External"/><Relationship Id="rId73" Type="http://schemas.openxmlformats.org/officeDocument/2006/relationships/hyperlink" Target="../../../../../../:b:/r/sites/Grnneanskaffelser/Shared%20Documents/M%C3%B8bler/Statistikk%20og%20m%C3%A5ling/M%C3%A5ling%202022%20-%20Hedda/Konkurransegrunnlag/Konkurransegrunnlag%202021/Politiets%20Fellestjenester%20-%2007.02.2021/9.%20Alminnelige%20avtalevilk%C3%A5r.pdf?csf=1&amp;web=1&amp;e=jabH56" TargetMode="External"/><Relationship Id="rId78" Type="http://schemas.openxmlformats.org/officeDocument/2006/relationships/hyperlink" Target="https://eu.eu-supply.com/app/rfq/publicpurchase_docs.asp?PID=293159&amp;LID=344144&amp;AllowPrint=1" TargetMode="External"/><Relationship Id="rId81" Type="http://schemas.openxmlformats.org/officeDocument/2006/relationships/hyperlink" Target="https://www.mercell.com/nb-no/anbud/168515819/loest-inventar-baasmo-barneskole-anbud.aspx" TargetMode="External"/><Relationship Id="rId86" Type="http://schemas.openxmlformats.org/officeDocument/2006/relationships/hyperlink" Target="https://www.mercell.com/nb-no/anbud/153815162/loest-inventar---madlamark-skole-anbud.aspx" TargetMode="External"/><Relationship Id="rId94" Type="http://schemas.openxmlformats.org/officeDocument/2006/relationships/hyperlink" Target="https://www.mercell.com/nb-no/anbud/156123078/innkjoep-inventar-og-utstyr-surnadal-barne--og-ungdomsskule-anbud.aspx" TargetMode="External"/><Relationship Id="rId99" Type="http://schemas.openxmlformats.org/officeDocument/2006/relationships/hyperlink" Target="https://www.mercell.com/nb-no/anbud/153558082/delkontrakt-03-sosiale--og-publikumsmoebler-anbud.aspx" TargetMode="External"/><Relationship Id="rId101" Type="http://schemas.openxmlformats.org/officeDocument/2006/relationships/hyperlink" Target="../../../../../../:b:/r/sites/Grnneanskaffelser/Shared%20Documents/M%C3%B8bler/Statistikk%20og%20m%C3%A5ling/M%C3%A5ling%202022%20-%20Hedda/Konkurransegrunnlag/Konkurransegrunnlag%202021/Stortinget%20-%2017.06.2021/Bilag%207%20Kontraktsvilk%C3%A5r%20for%20ivaretakelse%20av%20grunnleggende%20menneskerettigheter%20i%20leverand%C3%B8rkjeden.pdf?csf=1&amp;web=1&amp;e=tnkI8p" TargetMode="External"/><Relationship Id="rId122" Type="http://schemas.openxmlformats.org/officeDocument/2006/relationships/hyperlink" Target="../../../../../../:w:/r/sites/Grnneanskaffelser/Shared%20Documents/M%C3%B8bler/Statistikk%20og%20m%C3%A5ling/M%C3%A5ling%202022%20-%20Hedda/Konkurransegrunnlag/Konkurransegrunnlag%202021/Universitetet%20i%20Oslo%20-%2021.11.2021/Bilag%205%20-%20Kontratsvilk%C3%A5r%20for%20etisk%20handel.docx?d=wc4b3b51ce4f54ef79dbf14ec0619381c&amp;csf=1&amp;web=1&amp;e=SnFhIR" TargetMode="External"/><Relationship Id="rId130" Type="http://schemas.openxmlformats.org/officeDocument/2006/relationships/hyperlink" Target="mailto:gina.olsnes@alesund.kommune.no" TargetMode="External"/><Relationship Id="rId135" Type="http://schemas.openxmlformats.org/officeDocument/2006/relationships/hyperlink" Target="../../../../../../:f:/r/sites/Grnneanskaffelser/Shared%20Documents/M%C3%B8bler/Statistikk%20og%20m%C3%A5ling/M%C3%A5ling%202022%20-%20Hedda/Konkurransegrunnlag/Konkurransegrunnlag%202021/%C3%85lesund%20kommune%20-%2001.07.2021?csf=1&amp;web=1&amp;e=95wbam" TargetMode="External"/><Relationship Id="rId143" Type="http://schemas.openxmlformats.org/officeDocument/2006/relationships/hyperlink" Target="../../../../../../:w:/r/sites/Grnneanskaffelser/Shared%20Documents/M%C3%B8bler/Statistikk%20og%20m%C3%A5ling/M%C3%A5ling%202022%20-%20Hedda/Konkurransegrunnlag/Konkurransegrunnlag%202021/%C3%85snes%20kommune%20-%2002.02.2021/Del%202%20Avtale%20varekj%C3%B8p%20Familiens%20Hus%2020210121.docx?d=waaeee629382d4e6fbd981958a2e0e215&amp;csf=1&amp;web=1&amp;e=fcA2TY" TargetMode="External"/><Relationship Id="rId4" Type="http://schemas.openxmlformats.org/officeDocument/2006/relationships/hyperlink" Target="mailto:adnan.birdzo@bergen.kommune.no" TargetMode="External"/><Relationship Id="rId9" Type="http://schemas.openxmlformats.org/officeDocument/2006/relationships/hyperlink" Target="https://eu.eu-supply.com/app/rfq/publicpurchase_docs.asp?PID=314541&amp;LID=369480&amp;AllowPrint=1" TargetMode="External"/><Relationship Id="rId13" Type="http://schemas.openxmlformats.org/officeDocument/2006/relationships/hyperlink" Target="../../../../../../:b:/r/sites/Grnneanskaffelser/Shared%20Documents/M%C3%B8bler/Statistikk%20og%20m%C3%A5ling/M%C3%A5ling%202022%20-%20Hedda/Konkurransegrunnlag/Konkurransegrunnlag%202021/Bergen%20kommune%20-%20Bymilj%C3%B8etaten%20Delkontrakt%201%20(kontorm%C3%B8bler)%20-%2015.04.2021/Standardkontrakt%20bilag%207%20-%20Ansvarlig%20forretningspraksis.pdf?csf=1&amp;web=1&amp;e=HKoBld" TargetMode="External"/><Relationship Id="rId18" Type="http://schemas.openxmlformats.org/officeDocument/2006/relationships/hyperlink" Target="mailto:havard.lund@ffi.no" TargetMode="External"/><Relationship Id="rId39" Type="http://schemas.openxmlformats.org/officeDocument/2006/relationships/hyperlink" Target="../../../../../../:w:/r/sites/Grnneanskaffelser/Shared%20Documents/M%C3%B8bler/Statistikk%20og%20m%C3%A5ling/M%C3%A5ling%202022%20-%20Hedda/Konkurransegrunnlag/Konkurransegrunnlag%202021/Kinn%20kommune%20-%2015.06.2021/Vedlegg%203%20Utkast%20til%20Avtale.docx?d=w63729cbcba6645d292f21b32ff6789d6&amp;csf=1&amp;web=1&amp;e=UlOcS3" TargetMode="External"/><Relationship Id="rId109" Type="http://schemas.openxmlformats.org/officeDocument/2006/relationships/hyperlink" Target="mailto:mads.bratteng.stagrum@tromso.kommune.no" TargetMode="External"/><Relationship Id="rId34" Type="http://schemas.openxmlformats.org/officeDocument/2006/relationships/hyperlink" Target="https://www.mercell.com/nb-no/anbud/167768126/rammeavtale-for-kjoep-av-kontormoebler-og-inventar-anbud.aspx" TargetMode="External"/><Relationship Id="rId50" Type="http://schemas.openxmlformats.org/officeDocument/2006/relationships/hyperlink" Target="../../../../../../:w:/r/sites/Grnneanskaffelser/Shared%20Documents/M%C3%B8bler/Statistikk%20og%20m%C3%A5ling/M%C3%A5ling%202022%20-%20Hedda/Konkurransegrunnlag/Konkurransegrunnlag%202021/Kristiansand%20Kommune%20(m%C3%B8bler%20og%20inventar%20til%20institusjon)%20-%2014.11.2021/Vedlegg%204%20-%20Avtaledokument.docx?d=w24655035395846fcb323f5286d61ec1a&amp;csf=1&amp;web=1&amp;e=9HpiIE" TargetMode="External"/><Relationship Id="rId55" Type="http://schemas.openxmlformats.org/officeDocument/2006/relationships/hyperlink" Target="../../../../../../:w:/r/sites/Grnneanskaffelser/Shared%20Documents/M%C3%B8bler/Statistikk%20og%20m%C3%A5ling/M%C3%A5ling%202022%20-%20Hedda/Konkurransegrunnlag/Konkurransegrunnlag%202021/Meteorologisk%20Institutt%20-%2015.10.2021/Vedlegg%201%20-%20Kravspesifikasjon.docx?d=wa4a51a85b12246b5ace57a6d0af7af36&amp;csf=1&amp;web=1&amp;e=8ByDJp" TargetMode="External"/><Relationship Id="rId76" Type="http://schemas.openxmlformats.org/officeDocument/2006/relationships/hyperlink" Target="https://eu.eu-supply.com/app/rfq/publicpurchase_docs.asp?PID=302828&amp;LID=355286&amp;AllowPrint=1" TargetMode="External"/><Relationship Id="rId97" Type="http://schemas.openxmlformats.org/officeDocument/2006/relationships/hyperlink" Target="mailto:post@sykehusinnkjop.no" TargetMode="External"/><Relationship Id="rId104" Type="http://schemas.openxmlformats.org/officeDocument/2006/relationships/hyperlink" Target="../../../../../../:w:/r/sites/Grnneanskaffelser/Shared%20Documents/M%C3%B8bler/Statistikk%20og%20m%C3%A5ling/M%C3%A5ling%202022%20-%20Hedda/Konkurransegrunnlag/Konkurransegrunnlag%202021/Sykehusinnkj%C3%B8p%20HF%20-%2013.04.2021/Vedlegg%20Svarskjema%20etisk%20handel.docx?d=w2bdb75275bb1481da059e1c74ed981da&amp;csf=1&amp;web=1&amp;e=0oPox1" TargetMode="External"/><Relationship Id="rId120" Type="http://schemas.openxmlformats.org/officeDocument/2006/relationships/hyperlink" Target="mailto:innkjop@eiendom.uio.no" TargetMode="External"/><Relationship Id="rId125" Type="http://schemas.openxmlformats.org/officeDocument/2006/relationships/hyperlink" Target="https://www.mercell.com/nb-no/anbud/168098345/kontormoebler-og-annet-tilbehoer-anbud.aspx" TargetMode="External"/><Relationship Id="rId141" Type="http://schemas.openxmlformats.org/officeDocument/2006/relationships/hyperlink" Target="../../../../../../:b:/r/sites/Grnneanskaffelser/Shared%20Documents/M%C3%B8bler/Statistikk%20og%20m%C3%A5ling/M%C3%A5ling%202022%20-%20Hedda/Konkurransegrunnlag/Konkurransegrunnlag%202021/%C3%85lesund%20kommune%20-%20kontorstoler%202%20utlysninger/%C3%85lesund%20kommune%20-%2028.03.2021/KKG%20-%20kontorstoler.pdf?csf=1&amp;web=1&amp;e=6vAAfQ" TargetMode="External"/><Relationship Id="rId7" Type="http://schemas.openxmlformats.org/officeDocument/2006/relationships/hyperlink" Target="https://www.mercell.com/nb-no/anbud/162842408/for-049-2021-arkivreoler-til-bergen-byarkiv-ny-utlysning-anbud.aspx" TargetMode="External"/><Relationship Id="rId71" Type="http://schemas.openxmlformats.org/officeDocument/2006/relationships/hyperlink" Target="../../../../../../:f:/r/sites/Grnneanskaffelser/Shared%20Documents/M%C3%B8bler/Statistikk%20og%20m%C3%A5ling/M%C3%A5ling%202022%20-%20Hedda/Konkurransegrunnlag/Konkurransegrunnlag%202021/OsloMet%20-%20storbyuniversitetet%20-%2012.03.2021?csf=1&amp;web=1&amp;e=EGSEp2" TargetMode="External"/><Relationship Id="rId92" Type="http://schemas.openxmlformats.org/officeDocument/2006/relationships/hyperlink" Target="https://www.mercell.com/nb-no/anbud/154342053/miljoe--moeteromsmoebler-og-kontorstoler-anbud.aspx" TargetMode="External"/><Relationship Id="rId2" Type="http://schemas.openxmlformats.org/officeDocument/2006/relationships/hyperlink" Target="mailto:svend.hoff.johnstad@abakus.as" TargetMode="External"/><Relationship Id="rId29" Type="http://schemas.openxmlformats.org/officeDocument/2006/relationships/hyperlink" Target="mailto:trond.hansen@kriminalomsorg.no" TargetMode="External"/><Relationship Id="rId24" Type="http://schemas.openxmlformats.org/officeDocument/2006/relationships/hyperlink" Target="../../../../../../:f:/r/sites/Grnneanskaffelser/Shared%20Documents/M%C3%B8bler/Statistikk%20og%20m%C3%A5ling/M%C3%A5ling%202022%20-%20Hedda/Konkurransegrunnlag/Konkurransegrunnlag%202021/H%C3%B8gskulen%20i%20Volda%20-%2022.04.2021?csf=1&amp;web=1&amp;e=9iqJr7" TargetMode="External"/><Relationship Id="rId40" Type="http://schemas.openxmlformats.org/officeDocument/2006/relationships/hyperlink" Target="../../../../../../:w:/r/sites/Grnneanskaffelser/Shared%20Documents/M%C3%B8bler/Statistikk%20og%20m%C3%A5ling/M%C3%A5ling%202022%20-%20Hedda/Konkurransegrunnlag/Konkurransegrunnlag%202021/Kriminalomsorgsdirektoratet%20-%2030.01.2021/Vedlegg%201-%20Rammeavtale%20kontorm%C3%B8bler.doc?d=w81b47d6528c545b292fbe9d7c818bd39&amp;csf=1&amp;web=1&amp;e=lPV0yF" TargetMode="External"/><Relationship Id="rId45" Type="http://schemas.openxmlformats.org/officeDocument/2006/relationships/hyperlink" Target="https://www.mercell.com/nb-no/anbud/147600134/nii---rammeavtale---moebler-anbud.aspx" TargetMode="External"/><Relationship Id="rId66" Type="http://schemas.openxmlformats.org/officeDocument/2006/relationships/hyperlink" Target="https://www.mercell.com/nb-no/anbud/156186398/moebler-til-etablering-av-lokasjon-paa-tynset---ehelse-anbud.aspx" TargetMode="External"/><Relationship Id="rId87" Type="http://schemas.openxmlformats.org/officeDocument/2006/relationships/hyperlink" Target="../../../../../../:f:/r/sites/Grnneanskaffelser/Shared%20Documents/M%C3%B8bler/Statistikk%20og%20m%C3%A5ling/M%C3%A5ling%202022%20-%20Hedda/Konkurransegrunnlag/Konkurransegrunnlag%202021/Statsforvalteren%20i%20Troms%20og%20Finnmark%20-%2007.07.2021?csf=1&amp;web=1&amp;e=9WTIFd" TargetMode="External"/><Relationship Id="rId110" Type="http://schemas.openxmlformats.org/officeDocument/2006/relationships/hyperlink" Target="../../../../../../:f:/r/sites/Grnneanskaffelser/Shared%20Documents/M%C3%B8bler/Statistikk%20og%20m%C3%A5ling/M%C3%A5ling%202022%20-%20Hedda/Konkurransegrunnlag/Konkurransegrunnlag%202021/Troms%C3%B8%20kommune%20-%2006.05.2021?csf=1&amp;web=1&amp;e=TBglZe" TargetMode="External"/><Relationship Id="rId115" Type="http://schemas.openxmlformats.org/officeDocument/2006/relationships/hyperlink" Target="../../../../../../:b:/r/sites/Grnneanskaffelser/Shared%20Documents/M%C3%B8bler/Statistikk%20og%20m%C3%A5ling/M%C3%A5ling%202022%20-%20Hedda/Konkurransegrunnlag/Konkurransegrunnlag%202021/Trondheim%20Kommune%20(delkontrakt%203%20-%20kontorm%C3%B8bler)%20-%2025.06.2021/Konkurransegrunnlag%20-%20Nye%20m%C3%B8bler%20til%20Trondheim%20kommune.pdf?csf=1&amp;web=1&amp;e=bbrG11" TargetMode="External"/><Relationship Id="rId131" Type="http://schemas.openxmlformats.org/officeDocument/2006/relationships/hyperlink" Target="mailto:gina.olsnes@alesund.kommune.no" TargetMode="External"/><Relationship Id="rId136" Type="http://schemas.openxmlformats.org/officeDocument/2006/relationships/hyperlink" Target="../../../../../../:f:/r/sites/Grnneanskaffelser/Shared%20Documents/M%C3%B8bler/Statistikk%20og%20m%C3%A5ling/M%C3%A5ling%202022%20-%20Hedda/Konkurransegrunnlag/Konkurransegrunnlag%202021/%C3%85lesund%20kommune%20-%20kontorstoler%202%20utlysninger/%C3%85lesund%20kommune%20-%2028.03.2021?csf=1&amp;web=1&amp;e=IXku4A" TargetMode="External"/><Relationship Id="rId61" Type="http://schemas.openxmlformats.org/officeDocument/2006/relationships/hyperlink" Target="https://eu.eu-supply.com/app/rfq/publicpurchase_docs.asp?PID=292704&amp;LID=343621&amp;AllowPrint=1" TargetMode="External"/><Relationship Id="rId82" Type="http://schemas.openxmlformats.org/officeDocument/2006/relationships/hyperlink" Target="../../../../../../:b:/r/sites/Grnneanskaffelser/Shared%20Documents/M%C3%B8bler/Statistikk%20og%20m%C3%A5ling/M%C3%A5ling%202022%20-%20Hedda/Konkurransegrunnlag/Konkurransegrunnlag%202021/Statens%20arbeidsmilj%C3%B8institutt%20-%2014.02.2021/Kunngjort%20konkurransegrunnlag.pdf?csf=1&amp;web=1&amp;e=nrIxPS" TargetMode="External"/><Relationship Id="rId19" Type="http://schemas.openxmlformats.org/officeDocument/2006/relationships/hyperlink" Target="../../../../../../:b:/r/sites/Grnneanskaffelser/Shared%20Documents/M%C3%B8bler/Statistikk%20og%20m%C3%A5ling/M%C3%A5ling%202022%20-%20Hedda/Konkurransegrunnlag/Konkurransegrunnlag%202021/Forsvarets%20Forskningsinstitutt%20-%2028.01.2021/Etisk%20egenerkl%C3%A6ring%20for%20leverand%C3%B8rer%20til%20Forsvarsdepartementet.pdf?csf=1&amp;web=1&amp;e=60TRpW" TargetMode="External"/><Relationship Id="rId14" Type="http://schemas.openxmlformats.org/officeDocument/2006/relationships/hyperlink" Target="../../../../../../:w:/r/sites/Grnneanskaffelser/Shared%20Documents/M%C3%B8bler/Statistikk%20og%20m%C3%A5ling/M%C3%A5ling%202022%20-%20Hedda/Konkurransegrunnlag/Konkurransegrunnlag%202021/Barne-,%20ungdoms-%20og%20familiedirektoratet%20-%2020.11.2021/vedlegg%206%20-%20kontraktsvilkar_for_ivaretakelse_av_grunnleggende_menneskerettigheter_i_leverandorkjeden_med_logo_2.docx?d=w8a9328e6deb44623b0c8950df1d94643&amp;csf=1&amp;web=1&amp;e=HUsPbn" TargetMode="External"/><Relationship Id="rId30" Type="http://schemas.openxmlformats.org/officeDocument/2006/relationships/hyperlink" Target="https://eu.eu-supply.com/app/rfq/publicpurchase_docs.asp?PID=292062&amp;LID=342862&amp;AllowPrint=1" TargetMode="External"/><Relationship Id="rId35" Type="http://schemas.openxmlformats.org/officeDocument/2006/relationships/hyperlink" Target="mailto:tore.dammerud@kinn.kommune.no" TargetMode="External"/><Relationship Id="rId56" Type="http://schemas.openxmlformats.org/officeDocument/2006/relationships/hyperlink" Target="mailto:borge.jensen@nibio.no" TargetMode="External"/><Relationship Id="rId77" Type="http://schemas.openxmlformats.org/officeDocument/2006/relationships/hyperlink" Target="mailto:wenche.sundsfjord@vegvesen.no" TargetMode="External"/><Relationship Id="rId100" Type="http://schemas.openxmlformats.org/officeDocument/2006/relationships/hyperlink" Target="https://www.mercell.com/nb-no/anbud/153557750/delkontrakt-02-kontormoebler---stoler-anbud.aspx" TargetMode="External"/><Relationship Id="rId105" Type="http://schemas.openxmlformats.org/officeDocument/2006/relationships/hyperlink" Target="mailto:anskaffelse@tffk.no" TargetMode="External"/><Relationship Id="rId126" Type="http://schemas.openxmlformats.org/officeDocument/2006/relationships/hyperlink" Target="../../../../../../:w:/r/sites/Grnneanskaffelser/Shared%20Documents/M%C3%B8bler/Statistikk%20og%20m%C3%A5ling/M%C3%A5ling%202022%20-%20Hedda/Konkurransegrunnlag/Konkurransegrunnlag%202021/V%C3%A5gan%20Kommune%20-%2028.11.2021/Standardkontrakt%20for%20vare%20og%20tjenestekj%C3%B8p%20i%20V%C3%A5gan%20kommune.docx?d=w987d5dbed4c04e1ca2b6ef662ca31d36&amp;csf=1&amp;web=1&amp;e=fiQM9e" TargetMode="External"/><Relationship Id="rId8" Type="http://schemas.openxmlformats.org/officeDocument/2006/relationships/hyperlink" Target="mailto:marievine.elserud@bufdir.no" TargetMode="External"/><Relationship Id="rId51" Type="http://schemas.openxmlformats.org/officeDocument/2006/relationships/hyperlink" Target="../../../../../../:w:/r/sites/Grnneanskaffelser/Shared%20Documents/M%C3%B8bler/Statistikk%20og%20m%C3%A5ling/M%C3%A5ling%202022%20-%20Hedda/Konkurransegrunnlag/Konkurransegrunnlag%202021/Kristiansand%20Kommune%20(m%C3%B8bler%20og%20inventar%20til%20barnehage)%20-%2014.11.2021/Vedlegg%204%20-%20Avtaledokument.docx?d=wd0feab7f5d9f48a3872e5e065f92dd98&amp;csf=1&amp;web=1&amp;e=jMTktF" TargetMode="External"/><Relationship Id="rId72" Type="http://schemas.openxmlformats.org/officeDocument/2006/relationships/hyperlink" Target="../../../../../../:w:/r/sites/Grnneanskaffelser/Shared%20Documents/M%C3%B8bler/Statistikk%20og%20m%C3%A5ling/M%C3%A5ling%202022%20-%20Hedda/Konkurransegrunnlag/Konkurransegrunnlag%202021/OsloMet%20-%20storbyuniversitetet%20-%2012.03.2021/Vedlegg%208%20Kontrakt%20varekj%C3%B8p%2020-04151.docx?d=w30364bdea8024fadaa0ea7a68a7ba689&amp;csf=1&amp;web=1&amp;e=LQIFT2" TargetMode="External"/><Relationship Id="rId93" Type="http://schemas.openxmlformats.org/officeDocument/2006/relationships/hyperlink" Target="mailto:amh@surnadal.kommune.no" TargetMode="External"/><Relationship Id="rId98" Type="http://schemas.openxmlformats.org/officeDocument/2006/relationships/hyperlink" Target="https://www.mercell.com/nb-no/anbud/153557726/delkontrakt-01-kontormoebler---bord-og-oppbevaringsmoebler-stoeyskjermer-og-lydabsorbenter-anbud.aspx" TargetMode="External"/><Relationship Id="rId121" Type="http://schemas.openxmlformats.org/officeDocument/2006/relationships/hyperlink" Target="../../../../../../:f:/r/sites/Grnneanskaffelser/Shared%20Documents/M%C3%B8bler/Statistikk%20og%20m%C3%A5ling/M%C3%A5ling%202022%20-%20Hedda/Konkurransegrunnlag/Konkurransegrunnlag%202021/Universitetet%20i%20Oslo%20-%2021.11.2021?csf=1&amp;web=1&amp;e=alJSfz" TargetMode="External"/><Relationship Id="rId142" Type="http://schemas.openxmlformats.org/officeDocument/2006/relationships/hyperlink" Target="../../../../../../:b:/r/sites/Grnneanskaffelser/Shared%20Documents/M%C3%B8bler/Statistikk%20og%20m%C3%A5ling/M%C3%A5ling%202022%20-%20Hedda/Konkurransegrunnlag/Konkurransegrunnlag%202021/%C3%85lesund%20kommune%20-%2001.07.2021/Konkurransegrunnlag.pdf?csf=1&amp;web=1&amp;e=9cG5tj"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A01F8B-C4C1-43D6-AFF2-8EF1B0A47C41}">
  <sheetPr>
    <tabColor rgb="FFFFFF00"/>
  </sheetPr>
  <dimension ref="A1:CF66"/>
  <sheetViews>
    <sheetView showGridLines="0" tabSelected="1" topLeftCell="A15" zoomScale="110" zoomScaleNormal="110" workbookViewId="0">
      <pane xSplit="4" topLeftCell="AL1" activePane="topRight" state="frozen"/>
      <selection activeCell="AH1" sqref="AH1"/>
      <selection pane="topRight" activeCell="AL54" sqref="AL54"/>
    </sheetView>
  </sheetViews>
  <sheetFormatPr baseColWidth="10" defaultColWidth="11.42578125" defaultRowHeight="15" x14ac:dyDescent="0.25"/>
  <cols>
    <col min="2" max="2" width="13.42578125" customWidth="1"/>
    <col min="3" max="3" width="21.28515625" customWidth="1"/>
    <col min="4" max="4" width="38.7109375" customWidth="1"/>
    <col min="5" max="5" width="23" style="8" customWidth="1"/>
    <col min="6" max="6" width="95.85546875" customWidth="1"/>
    <col min="7" max="8" width="20" bestFit="1" customWidth="1"/>
    <col min="9" max="9" width="12.85546875" customWidth="1"/>
    <col min="10" max="10" width="22" customWidth="1"/>
    <col min="11" max="11" width="14.5703125" customWidth="1"/>
    <col min="12" max="12" width="28" bestFit="1" customWidth="1"/>
    <col min="13" max="13" width="13.5703125" customWidth="1"/>
    <col min="14" max="14" width="18" bestFit="1" customWidth="1"/>
    <col min="15" max="15" width="15.5703125" customWidth="1"/>
    <col min="16" max="16" width="28.140625" customWidth="1"/>
    <col min="17" max="17" width="21.7109375" customWidth="1"/>
    <col min="18" max="18" width="11.5703125" customWidth="1"/>
    <col min="19" max="19" width="11.140625" customWidth="1"/>
    <col min="20" max="20" width="11.85546875" customWidth="1"/>
    <col min="21" max="21" width="13.42578125" customWidth="1"/>
    <col min="22" max="26" width="13.28515625" customWidth="1"/>
    <col min="27" max="27" width="15.140625" customWidth="1"/>
    <col min="28" max="28" width="14.85546875" customWidth="1"/>
    <col min="29" max="29" width="25.5703125" customWidth="1"/>
    <col min="30" max="30" width="12.140625" customWidth="1"/>
    <col min="31" max="31" width="16.85546875" customWidth="1"/>
    <col min="32" max="32" width="16.5703125" customWidth="1"/>
    <col min="33" max="33" width="16.85546875" customWidth="1"/>
    <col min="34" max="34" width="34.42578125" customWidth="1"/>
    <col min="35" max="35" width="27.140625" customWidth="1"/>
    <col min="36" max="36" width="25.7109375" customWidth="1"/>
    <col min="37" max="37" width="21.7109375" customWidth="1"/>
    <col min="38" max="38" width="16.7109375" customWidth="1"/>
    <col min="39" max="39" width="16.5703125" customWidth="1"/>
    <col min="40" max="40" width="13" customWidth="1"/>
    <col min="41" max="41" width="29.5703125" customWidth="1"/>
    <col min="42" max="42" width="11.7109375" customWidth="1"/>
    <col min="43" max="43" width="11.140625" customWidth="1"/>
    <col min="44" max="44" width="18.42578125" customWidth="1"/>
    <col min="45" max="45" width="58.28515625" customWidth="1"/>
    <col min="46" max="46" width="16" customWidth="1"/>
    <col min="47" max="47" width="14.42578125" customWidth="1"/>
    <col min="48" max="48" width="12.5703125" customWidth="1"/>
    <col min="49" max="49" width="17.42578125" customWidth="1"/>
    <col min="50" max="50" width="20" customWidth="1"/>
    <col min="51" max="51" width="31" customWidth="1"/>
    <col min="52" max="52" width="12.5703125" customWidth="1"/>
    <col min="53" max="55" width="28.42578125" customWidth="1"/>
    <col min="56" max="59" width="18.7109375" customWidth="1"/>
    <col min="60" max="60" width="11.140625" customWidth="1"/>
    <col min="61" max="61" width="11.85546875" customWidth="1"/>
    <col min="62" max="62" width="17.28515625" customWidth="1"/>
    <col min="63" max="63" width="11.140625" customWidth="1"/>
    <col min="64" max="64" width="16.42578125" bestFit="1" customWidth="1"/>
    <col min="65" max="66" width="11.140625" customWidth="1"/>
    <col min="68" max="68" width="11.5703125" customWidth="1"/>
    <col min="70" max="71" width="16.140625" customWidth="1"/>
    <col min="72" max="72" width="17.5703125" customWidth="1"/>
    <col min="73" max="74" width="16.140625" customWidth="1"/>
    <col min="75" max="75" width="20.5703125" customWidth="1"/>
    <col min="76" max="76" width="86.42578125" bestFit="1" customWidth="1"/>
    <col min="84" max="84" width="14" customWidth="1"/>
  </cols>
  <sheetData>
    <row r="1" spans="1:84" x14ac:dyDescent="0.25">
      <c r="AK1" s="1"/>
      <c r="AL1" s="1"/>
      <c r="AM1" s="100"/>
      <c r="AN1" s="100"/>
      <c r="AO1" s="1"/>
      <c r="AP1" s="1"/>
      <c r="AQ1" s="100"/>
      <c r="AR1" s="100"/>
      <c r="AS1" s="100"/>
      <c r="AT1" s="100"/>
      <c r="AU1" s="1"/>
      <c r="AW1" s="1"/>
      <c r="AX1" s="1"/>
      <c r="AY1" s="1"/>
      <c r="CB1" t="s">
        <v>375</v>
      </c>
    </row>
    <row r="2" spans="1:84" ht="126" customHeight="1" x14ac:dyDescent="0.25">
      <c r="A2" s="96" t="s">
        <v>0</v>
      </c>
      <c r="B2" s="96" t="s">
        <v>1</v>
      </c>
      <c r="C2" s="96" t="s">
        <v>2</v>
      </c>
      <c r="D2" s="96" t="s">
        <v>3</v>
      </c>
      <c r="E2" s="96" t="s">
        <v>4</v>
      </c>
      <c r="F2" s="96" t="s">
        <v>5</v>
      </c>
      <c r="G2" s="96" t="s">
        <v>6</v>
      </c>
      <c r="H2" s="96" t="s">
        <v>7</v>
      </c>
      <c r="I2" s="96" t="s">
        <v>8</v>
      </c>
      <c r="J2" s="96" t="s">
        <v>9</v>
      </c>
      <c r="K2" s="96" t="s">
        <v>10</v>
      </c>
      <c r="L2" s="96" t="s">
        <v>11</v>
      </c>
      <c r="M2" s="96" t="s">
        <v>12</v>
      </c>
      <c r="N2" s="96" t="s">
        <v>13</v>
      </c>
      <c r="O2" s="96" t="s">
        <v>14</v>
      </c>
      <c r="P2" s="96" t="s">
        <v>15</v>
      </c>
      <c r="Q2" s="96" t="s">
        <v>16</v>
      </c>
      <c r="R2" s="96" t="s">
        <v>376</v>
      </c>
      <c r="S2" s="96" t="s">
        <v>17</v>
      </c>
      <c r="T2" s="96" t="s">
        <v>18</v>
      </c>
      <c r="U2" s="96" t="s">
        <v>19</v>
      </c>
      <c r="V2" s="96" t="s">
        <v>20</v>
      </c>
      <c r="W2" s="121" t="s">
        <v>21</v>
      </c>
      <c r="X2" s="96" t="s">
        <v>22</v>
      </c>
      <c r="Y2" s="121" t="s">
        <v>377</v>
      </c>
      <c r="Z2" s="96" t="s">
        <v>24</v>
      </c>
      <c r="AA2" s="96" t="s">
        <v>25</v>
      </c>
      <c r="AB2" s="96" t="s">
        <v>26</v>
      </c>
      <c r="AC2" s="96" t="s">
        <v>27</v>
      </c>
      <c r="AD2" s="96" t="s">
        <v>28</v>
      </c>
      <c r="AE2" s="96" t="s">
        <v>29</v>
      </c>
      <c r="AF2" s="96" t="s">
        <v>30</v>
      </c>
      <c r="AG2" s="96" t="s">
        <v>31</v>
      </c>
      <c r="AH2" s="96" t="s">
        <v>32</v>
      </c>
      <c r="AI2" s="96" t="s">
        <v>33</v>
      </c>
      <c r="AJ2" s="96" t="s">
        <v>34</v>
      </c>
      <c r="AK2" s="96" t="s">
        <v>35</v>
      </c>
      <c r="AL2" s="96" t="s">
        <v>36</v>
      </c>
      <c r="AM2" s="96" t="s">
        <v>37</v>
      </c>
      <c r="AN2" s="96" t="s">
        <v>38</v>
      </c>
      <c r="AO2" s="96" t="s">
        <v>39</v>
      </c>
      <c r="AP2" s="96" t="s">
        <v>40</v>
      </c>
      <c r="AQ2" s="96" t="s">
        <v>41</v>
      </c>
      <c r="AR2" s="96" t="s">
        <v>42</v>
      </c>
      <c r="AS2" s="96" t="s">
        <v>43</v>
      </c>
      <c r="AT2" s="96" t="s">
        <v>44</v>
      </c>
      <c r="AU2" s="96" t="s">
        <v>45</v>
      </c>
      <c r="AV2" s="96" t="s">
        <v>46</v>
      </c>
      <c r="AW2" s="96" t="s">
        <v>47</v>
      </c>
      <c r="AX2" s="96" t="s">
        <v>48</v>
      </c>
      <c r="AY2" s="96" t="s">
        <v>49</v>
      </c>
      <c r="AZ2" s="96" t="s">
        <v>50</v>
      </c>
      <c r="BA2" s="96" t="s">
        <v>51</v>
      </c>
      <c r="BB2" s="96" t="s">
        <v>52</v>
      </c>
      <c r="BC2" s="96" t="s">
        <v>53</v>
      </c>
      <c r="BD2" s="96" t="s">
        <v>54</v>
      </c>
      <c r="BE2" s="96" t="s">
        <v>55</v>
      </c>
      <c r="BF2" s="96" t="s">
        <v>56</v>
      </c>
      <c r="BG2" s="96" t="s">
        <v>57</v>
      </c>
      <c r="BH2" s="96" t="s">
        <v>58</v>
      </c>
      <c r="BI2" s="96" t="s">
        <v>59</v>
      </c>
      <c r="BJ2" s="96" t="s">
        <v>60</v>
      </c>
      <c r="BK2" s="96" t="s">
        <v>61</v>
      </c>
      <c r="BL2" s="96" t="s">
        <v>62</v>
      </c>
      <c r="BM2" s="96" t="s">
        <v>63</v>
      </c>
      <c r="BN2" s="96" t="s">
        <v>64</v>
      </c>
      <c r="BO2" s="96" t="s">
        <v>65</v>
      </c>
      <c r="BP2" s="96" t="s">
        <v>66</v>
      </c>
      <c r="BQ2" s="96" t="s">
        <v>67</v>
      </c>
      <c r="BR2" s="96" t="s">
        <v>68</v>
      </c>
      <c r="BS2" s="96" t="s">
        <v>69</v>
      </c>
      <c r="BT2" s="96" t="s">
        <v>70</v>
      </c>
      <c r="BU2" s="96" t="s">
        <v>71</v>
      </c>
      <c r="BV2" s="96" t="s">
        <v>72</v>
      </c>
      <c r="BW2" s="96" t="s">
        <v>73</v>
      </c>
      <c r="BX2" s="96" t="s">
        <v>74</v>
      </c>
      <c r="CB2" s="22" t="s">
        <v>378</v>
      </c>
      <c r="CC2" s="34" t="s">
        <v>379</v>
      </c>
      <c r="CD2" s="34" t="s">
        <v>380</v>
      </c>
      <c r="CE2" s="34" t="s">
        <v>381</v>
      </c>
      <c r="CF2" s="34" t="s">
        <v>382</v>
      </c>
    </row>
    <row r="3" spans="1:84" ht="14.45" customHeight="1" x14ac:dyDescent="0.25">
      <c r="A3" s="10">
        <v>2021</v>
      </c>
      <c r="B3" s="10" t="s">
        <v>126</v>
      </c>
      <c r="C3" s="60">
        <v>44307</v>
      </c>
      <c r="D3" s="41" t="s">
        <v>127</v>
      </c>
      <c r="E3" s="61">
        <v>991799710</v>
      </c>
      <c r="F3" s="39" t="s">
        <v>128</v>
      </c>
      <c r="G3" s="72" t="s">
        <v>129</v>
      </c>
      <c r="H3" s="39" t="s">
        <v>130</v>
      </c>
      <c r="I3" s="4">
        <v>39000000</v>
      </c>
      <c r="J3" s="10">
        <v>0</v>
      </c>
      <c r="K3" s="4" t="s">
        <v>75</v>
      </c>
      <c r="L3" s="21" t="s">
        <v>82</v>
      </c>
      <c r="M3" s="4">
        <v>1</v>
      </c>
      <c r="N3" s="76">
        <v>40000000</v>
      </c>
      <c r="O3" s="4">
        <v>1</v>
      </c>
      <c r="P3" s="50" t="s">
        <v>131</v>
      </c>
      <c r="Q3" s="35" t="s">
        <v>132</v>
      </c>
      <c r="R3" s="13"/>
      <c r="S3" s="80">
        <v>0</v>
      </c>
      <c r="T3" s="80">
        <v>0.55000000000000004</v>
      </c>
      <c r="U3" s="80">
        <v>0.44999999999999996</v>
      </c>
      <c r="V3" s="45">
        <v>0</v>
      </c>
      <c r="W3" s="122">
        <v>0</v>
      </c>
      <c r="X3" s="2">
        <v>0</v>
      </c>
      <c r="Y3" s="122">
        <v>1</v>
      </c>
      <c r="Z3" s="81">
        <v>1</v>
      </c>
      <c r="AA3" s="14">
        <v>1</v>
      </c>
      <c r="AB3" s="14">
        <v>0</v>
      </c>
      <c r="AC3" s="14">
        <v>0</v>
      </c>
      <c r="AD3" s="14">
        <v>0</v>
      </c>
      <c r="AE3" s="10">
        <v>1</v>
      </c>
      <c r="AF3" s="10">
        <v>1</v>
      </c>
      <c r="AG3" s="14">
        <v>1</v>
      </c>
      <c r="AH3" s="10">
        <v>0</v>
      </c>
      <c r="AI3" s="10">
        <v>0</v>
      </c>
      <c r="AJ3" s="10">
        <v>1</v>
      </c>
      <c r="AK3" s="10">
        <v>1</v>
      </c>
      <c r="AL3" s="15">
        <v>1</v>
      </c>
      <c r="AM3" s="15">
        <v>0</v>
      </c>
      <c r="AN3" s="15">
        <v>0</v>
      </c>
      <c r="AO3" s="98">
        <v>1</v>
      </c>
      <c r="AP3" s="15">
        <v>0</v>
      </c>
      <c r="AQ3" s="15">
        <v>0</v>
      </c>
      <c r="AR3" s="15">
        <v>1</v>
      </c>
      <c r="AS3" s="15">
        <v>0</v>
      </c>
      <c r="AT3" s="15">
        <v>0</v>
      </c>
      <c r="AU3" s="15">
        <v>0</v>
      </c>
      <c r="AV3" s="10">
        <v>2</v>
      </c>
      <c r="AW3" s="10">
        <v>1</v>
      </c>
      <c r="AX3" s="10">
        <v>1</v>
      </c>
      <c r="AY3" s="10">
        <v>0</v>
      </c>
      <c r="AZ3" s="10">
        <v>1</v>
      </c>
      <c r="BA3" s="10">
        <v>1</v>
      </c>
      <c r="BB3" s="10">
        <v>1</v>
      </c>
      <c r="BC3" s="10">
        <v>0</v>
      </c>
      <c r="BD3" s="10">
        <v>1</v>
      </c>
      <c r="BE3" s="10">
        <v>0</v>
      </c>
      <c r="BF3" s="10">
        <v>1</v>
      </c>
      <c r="BG3" s="10">
        <v>0</v>
      </c>
      <c r="BH3" s="10">
        <v>1</v>
      </c>
      <c r="BI3" s="10">
        <v>1</v>
      </c>
      <c r="BJ3" s="10">
        <v>1</v>
      </c>
      <c r="BK3" s="10">
        <v>1</v>
      </c>
      <c r="BL3" s="10">
        <v>0</v>
      </c>
      <c r="BM3" s="10">
        <v>0</v>
      </c>
      <c r="BN3" s="10">
        <v>0</v>
      </c>
      <c r="BO3" s="10">
        <v>1</v>
      </c>
      <c r="BP3" s="10">
        <v>0</v>
      </c>
      <c r="BQ3" s="10">
        <v>0</v>
      </c>
      <c r="BR3" s="45">
        <v>1</v>
      </c>
      <c r="BS3" s="20">
        <v>0</v>
      </c>
      <c r="BT3" s="48">
        <v>1</v>
      </c>
      <c r="BU3" s="20">
        <v>1</v>
      </c>
      <c r="BV3" s="20">
        <v>0</v>
      </c>
      <c r="BW3" s="82" t="s">
        <v>133</v>
      </c>
      <c r="BX3" s="21"/>
      <c r="CB3" s="2">
        <f t="shared" ref="CB3:CB55" si="0">IF((AK3+AL3+AO3+AP3+AS3+AT3+AU3+AW3)&gt;=1,1,0)</f>
        <v>1</v>
      </c>
      <c r="CC3" s="2">
        <f>IF((AK3+AL3+AO3+AP3+AU3+AW3+AX3+AY3)&gt;=1,1,0)</f>
        <v>1</v>
      </c>
      <c r="CD3" s="2">
        <f>IF((AM3+AN3+AQ3+AR3+AS3+AT3)&gt;=1,1,0)</f>
        <v>1</v>
      </c>
      <c r="CE3" s="2">
        <v>4</v>
      </c>
      <c r="CF3" s="2" t="e" cm="1">
        <f t="array" ref="CF3">+_xlfn.IFS(Tabell2[[#This Row],[EPD/Miljødeklarasjon - som krav, tildelingskriterium, kontraktsvilkår eller dokumentasjon]]=2,"Ja",Tabell2[[#This Row],[Bærekraftig trevirke/skogbruk - tømmerforordningen, FSC eller PEFC ]]=2,"Ja",Tabell2[[#This Row],[Krav til kvalitet / EN standarder/henvisning til Norsk møbelfakta]]=2,"Ja",Tabell2[[#This Row],[Robuste møbeltekstiler/ kvalitet på møbeltrekk]]=2,"Ja",Tabell2[[#This Row],[Design for lang levetid (Demontering, Reservedeler, produktinformasjon om montering og vedlikehold)]]=2,"Ja",Tabell2[[#This Row],[Merking av plast]]=2,"Ja",Tabell2[[#This Row],[Vask og rengjøring av møbler]]=2,"Ja",Tabell2[[#This Row],[Emballasjen skal være resirkulerbar/ gjenbrukbar (kravet om miljøvennelig emballasje)]]=2,"Ja",Tabell2[[#This Row],[Emballasje (retur- grønt punkt, gjenvinning) (kravet om gjenvinnbar emballasje)]]=2,"Ja",Tabell2[[#This Row],[Kjemikalietabellen (unngå skadelige kjemikaler)]]=2,"Ja",Tabell2[[#This Row],[Flammehemmere]]=2,"Ja",Tabell2[[#This Row],[PVC]]=2,"Ja",Tabell2[[#This Row],[Sosiale hensyn og menneske-rettigheter er inkludert]]=2,"Ja")</f>
        <v>#N/A</v>
      </c>
    </row>
    <row r="4" spans="1:84" ht="14.45" customHeight="1" x14ac:dyDescent="0.25">
      <c r="A4" s="10">
        <v>2021</v>
      </c>
      <c r="B4" s="10" t="s">
        <v>155</v>
      </c>
      <c r="C4" s="60">
        <v>44266</v>
      </c>
      <c r="D4" s="37" t="s">
        <v>156</v>
      </c>
      <c r="E4" s="61">
        <v>916810962</v>
      </c>
      <c r="F4" s="36" t="s">
        <v>157</v>
      </c>
      <c r="G4" s="69" t="s">
        <v>118</v>
      </c>
      <c r="H4" s="36" t="s">
        <v>80</v>
      </c>
      <c r="I4" s="4">
        <v>39130000</v>
      </c>
      <c r="J4" s="10">
        <v>0</v>
      </c>
      <c r="K4" s="4" t="s">
        <v>75</v>
      </c>
      <c r="L4" s="21" t="s">
        <v>82</v>
      </c>
      <c r="M4" s="4">
        <v>0</v>
      </c>
      <c r="N4" s="76">
        <v>1800000</v>
      </c>
      <c r="O4" s="4">
        <v>1</v>
      </c>
      <c r="P4" s="49" t="s">
        <v>158</v>
      </c>
      <c r="Q4" s="35" t="s">
        <v>159</v>
      </c>
      <c r="R4" s="13"/>
      <c r="S4" s="80">
        <v>0</v>
      </c>
      <c r="T4" s="80">
        <v>0.4</v>
      </c>
      <c r="U4" s="80">
        <v>0.6</v>
      </c>
      <c r="V4" s="45">
        <v>0</v>
      </c>
      <c r="W4" s="123">
        <v>0</v>
      </c>
      <c r="X4" s="2">
        <v>0</v>
      </c>
      <c r="Y4" s="123">
        <v>1</v>
      </c>
      <c r="Z4" s="43">
        <v>1</v>
      </c>
      <c r="AA4" s="17">
        <v>1</v>
      </c>
      <c r="AB4" s="17">
        <v>0</v>
      </c>
      <c r="AC4" s="17">
        <v>0</v>
      </c>
      <c r="AD4" s="17">
        <v>0</v>
      </c>
      <c r="AE4" s="10">
        <v>1</v>
      </c>
      <c r="AF4" s="10">
        <v>0</v>
      </c>
      <c r="AG4" s="14">
        <v>1</v>
      </c>
      <c r="AH4" s="10">
        <v>0</v>
      </c>
      <c r="AI4" s="10">
        <v>0</v>
      </c>
      <c r="AJ4" s="10">
        <v>0</v>
      </c>
      <c r="AK4" s="10">
        <v>1</v>
      </c>
      <c r="AL4" s="15">
        <v>1</v>
      </c>
      <c r="AM4" s="15">
        <v>1</v>
      </c>
      <c r="AN4" s="15">
        <v>0</v>
      </c>
      <c r="AO4" s="98">
        <v>1</v>
      </c>
      <c r="AP4" s="15">
        <v>0</v>
      </c>
      <c r="AQ4" s="15">
        <v>0</v>
      </c>
      <c r="AR4" s="15">
        <v>1</v>
      </c>
      <c r="AS4" s="15">
        <v>0</v>
      </c>
      <c r="AT4" s="15">
        <v>0</v>
      </c>
      <c r="AU4" s="15">
        <v>0</v>
      </c>
      <c r="AV4" s="10" t="s">
        <v>93</v>
      </c>
      <c r="AW4" s="10">
        <v>1</v>
      </c>
      <c r="AX4" s="10">
        <v>0</v>
      </c>
      <c r="AY4" s="10">
        <v>0</v>
      </c>
      <c r="AZ4" s="10">
        <v>0</v>
      </c>
      <c r="BA4" s="10">
        <v>0</v>
      </c>
      <c r="BB4" s="10">
        <v>0</v>
      </c>
      <c r="BC4" s="10">
        <v>0</v>
      </c>
      <c r="BD4" s="10">
        <v>0</v>
      </c>
      <c r="BE4" s="10">
        <v>0</v>
      </c>
      <c r="BF4" s="10">
        <v>0</v>
      </c>
      <c r="BG4" s="10">
        <v>0</v>
      </c>
      <c r="BH4" s="10">
        <v>0</v>
      </c>
      <c r="BI4" s="10">
        <v>0</v>
      </c>
      <c r="BJ4" s="10">
        <v>0</v>
      </c>
      <c r="BK4" s="10">
        <v>0</v>
      </c>
      <c r="BL4" s="10">
        <v>0</v>
      </c>
      <c r="BM4" s="10">
        <v>0</v>
      </c>
      <c r="BN4" s="10">
        <v>0</v>
      </c>
      <c r="BO4" s="10">
        <v>0</v>
      </c>
      <c r="BP4" s="10">
        <v>0</v>
      </c>
      <c r="BQ4" s="10">
        <v>0</v>
      </c>
      <c r="BR4" s="45">
        <v>0</v>
      </c>
      <c r="BS4" s="20">
        <v>0</v>
      </c>
      <c r="BT4" s="48">
        <v>1</v>
      </c>
      <c r="BU4" s="20">
        <v>0</v>
      </c>
      <c r="BV4" s="20">
        <v>0</v>
      </c>
      <c r="BW4" s="82" t="s">
        <v>160</v>
      </c>
      <c r="BX4" s="21"/>
      <c r="CB4" s="2">
        <f t="shared" si="0"/>
        <v>1</v>
      </c>
      <c r="CC4" s="2">
        <f t="shared" ref="CC4:CC55" si="1">IF((AK4+AL4+AO4+AP4+AU4+AW4+AX4+AY4)&gt;=1,1,0)</f>
        <v>1</v>
      </c>
      <c r="CD4" s="2">
        <f t="shared" ref="CD4:CD55" si="2">IF((AM4+AN4+AQ4+AR4+AS4+AT4)&gt;=1,1,0)</f>
        <v>1</v>
      </c>
      <c r="CE4" s="2">
        <f>+CE3+1</f>
        <v>5</v>
      </c>
      <c r="CF4" s="2" t="e" cm="1">
        <f t="array" ref="CF4">+_xlfn.IFS(Tabell2[[#This Row],[EPD/Miljødeklarasjon - som krav, tildelingskriterium, kontraktsvilkår eller dokumentasjon]]=2,"Ja",Tabell2[[#This Row],[Bærekraftig trevirke/skogbruk - tømmerforordningen, FSC eller PEFC ]]=2,"Ja",Tabell2[[#This Row],[Krav til kvalitet / EN standarder/henvisning til Norsk møbelfakta]]=2,"Ja",Tabell2[[#This Row],[Robuste møbeltekstiler/ kvalitet på møbeltrekk]]=2,"Ja",Tabell2[[#This Row],[Design for lang levetid (Demontering, Reservedeler, produktinformasjon om montering og vedlikehold)]]=2,"Ja",Tabell2[[#This Row],[Merking av plast]]=2,"Ja",Tabell2[[#This Row],[Vask og rengjøring av møbler]]=2,"Ja",Tabell2[[#This Row],[Emballasjen skal være resirkulerbar/ gjenbrukbar (kravet om miljøvennelig emballasje)]]=2,"Ja",Tabell2[[#This Row],[Emballasje (retur- grønt punkt, gjenvinning) (kravet om gjenvinnbar emballasje)]]=2,"Ja",Tabell2[[#This Row],[Kjemikalietabellen (unngå skadelige kjemikaler)]]=2,"Ja",Tabell2[[#This Row],[Flammehemmere]]=2,"Ja",Tabell2[[#This Row],[PVC]]=2,"Ja",Tabell2[[#This Row],[Sosiale hensyn og menneske-rettigheter er inkludert]]=2,"Ja")</f>
        <v>#N/A</v>
      </c>
    </row>
    <row r="5" spans="1:84" s="25" customFormat="1" ht="14.45" customHeight="1" x14ac:dyDescent="0.25">
      <c r="A5" s="10">
        <v>2021</v>
      </c>
      <c r="B5" s="10" t="s">
        <v>195</v>
      </c>
      <c r="C5" s="60">
        <v>44484</v>
      </c>
      <c r="D5" s="37" t="s">
        <v>196</v>
      </c>
      <c r="E5" s="61">
        <v>971274042</v>
      </c>
      <c r="F5" s="36" t="s">
        <v>197</v>
      </c>
      <c r="G5" s="69" t="s">
        <v>118</v>
      </c>
      <c r="H5" s="36" t="s">
        <v>80</v>
      </c>
      <c r="I5" s="4">
        <v>39130000</v>
      </c>
      <c r="J5" s="10">
        <v>0</v>
      </c>
      <c r="K5" s="4" t="s">
        <v>75</v>
      </c>
      <c r="L5" s="21" t="s">
        <v>82</v>
      </c>
      <c r="M5" s="4">
        <v>0</v>
      </c>
      <c r="N5" s="76">
        <v>4000000</v>
      </c>
      <c r="O5" s="4">
        <v>1</v>
      </c>
      <c r="P5" s="49" t="s">
        <v>198</v>
      </c>
      <c r="Q5" s="35" t="s">
        <v>199</v>
      </c>
      <c r="R5" s="13"/>
      <c r="S5" s="80">
        <v>0.2</v>
      </c>
      <c r="T5" s="80">
        <v>0.4</v>
      </c>
      <c r="U5" s="80">
        <v>0.39999999999999991</v>
      </c>
      <c r="V5" s="45">
        <v>1</v>
      </c>
      <c r="W5" s="123">
        <v>0</v>
      </c>
      <c r="X5" s="2">
        <v>0</v>
      </c>
      <c r="Y5" s="123">
        <v>0</v>
      </c>
      <c r="Z5" s="43">
        <v>1</v>
      </c>
      <c r="AA5" s="17">
        <v>1</v>
      </c>
      <c r="AB5" s="17">
        <v>0</v>
      </c>
      <c r="AC5" s="17">
        <v>1</v>
      </c>
      <c r="AD5" s="17">
        <v>0</v>
      </c>
      <c r="AE5" s="10">
        <v>0</v>
      </c>
      <c r="AF5" s="10">
        <v>0</v>
      </c>
      <c r="AG5" s="14">
        <v>1</v>
      </c>
      <c r="AH5" s="10">
        <v>0</v>
      </c>
      <c r="AI5" s="10">
        <v>0</v>
      </c>
      <c r="AJ5" s="10">
        <v>0</v>
      </c>
      <c r="AK5" s="10">
        <v>2</v>
      </c>
      <c r="AL5" s="15">
        <v>2</v>
      </c>
      <c r="AM5" s="15">
        <v>0</v>
      </c>
      <c r="AN5" s="15">
        <v>1</v>
      </c>
      <c r="AO5" s="98">
        <v>2</v>
      </c>
      <c r="AP5" s="15">
        <v>2</v>
      </c>
      <c r="AQ5" s="15">
        <v>0</v>
      </c>
      <c r="AR5" s="15">
        <v>0</v>
      </c>
      <c r="AS5" s="15">
        <v>0</v>
      </c>
      <c r="AT5" s="15">
        <v>0</v>
      </c>
      <c r="AU5" s="15">
        <v>0</v>
      </c>
      <c r="AV5" s="10">
        <v>5</v>
      </c>
      <c r="AW5" s="10">
        <v>2</v>
      </c>
      <c r="AX5" s="10">
        <v>0</v>
      </c>
      <c r="AY5" s="10">
        <v>0</v>
      </c>
      <c r="AZ5" s="10">
        <v>1</v>
      </c>
      <c r="BA5" s="10">
        <v>2</v>
      </c>
      <c r="BB5" s="10">
        <v>1</v>
      </c>
      <c r="BC5" s="10">
        <v>2</v>
      </c>
      <c r="BD5" s="10">
        <v>1</v>
      </c>
      <c r="BE5" s="10">
        <v>1</v>
      </c>
      <c r="BF5" s="10">
        <v>1</v>
      </c>
      <c r="BG5" s="10">
        <v>1</v>
      </c>
      <c r="BH5" s="10">
        <v>0</v>
      </c>
      <c r="BI5" s="10">
        <v>0</v>
      </c>
      <c r="BJ5" s="10">
        <v>2</v>
      </c>
      <c r="BK5" s="10">
        <v>2</v>
      </c>
      <c r="BL5" s="10">
        <v>0</v>
      </c>
      <c r="BM5" s="10">
        <v>1</v>
      </c>
      <c r="BN5" s="10">
        <v>1</v>
      </c>
      <c r="BO5" s="10">
        <v>1</v>
      </c>
      <c r="BP5" s="10">
        <v>1</v>
      </c>
      <c r="BQ5" s="10">
        <v>0</v>
      </c>
      <c r="BR5" s="45">
        <v>1</v>
      </c>
      <c r="BS5" s="20">
        <v>0</v>
      </c>
      <c r="BT5" s="48">
        <v>0</v>
      </c>
      <c r="BU5" s="20">
        <v>0</v>
      </c>
      <c r="BV5" s="20">
        <v>1</v>
      </c>
      <c r="BW5" s="82" t="s">
        <v>200</v>
      </c>
      <c r="BX5" s="21"/>
      <c r="CB5" s="2">
        <f t="shared" si="0"/>
        <v>1</v>
      </c>
      <c r="CC5" s="2">
        <f t="shared" si="1"/>
        <v>1</v>
      </c>
      <c r="CD5" s="2">
        <f t="shared" si="2"/>
        <v>1</v>
      </c>
      <c r="CE5" s="2">
        <f t="shared" ref="CE5:CE55" si="3">+CE4+1</f>
        <v>6</v>
      </c>
      <c r="CF5" s="2" t="str" cm="1">
        <f t="array" ref="CF5">+_xlfn.IFS(Tabell2[[#This Row],[EPD/Miljødeklarasjon - som krav, tildelingskriterium, kontraktsvilkår eller dokumentasjon]]=2,"Ja",Tabell2[[#This Row],[Bærekraftig trevirke/skogbruk - tømmerforordningen, FSC eller PEFC ]]=2,"Ja",Tabell2[[#This Row],[Krav til kvalitet / EN standarder/henvisning til Norsk møbelfakta]]=2,"Ja",Tabell2[[#This Row],[Robuste møbeltekstiler/ kvalitet på møbeltrekk]]=2,"Ja",Tabell2[[#This Row],[Design for lang levetid (Demontering, Reservedeler, produktinformasjon om montering og vedlikehold)]]=2,"Ja",Tabell2[[#This Row],[Merking av plast]]=2,"Ja",Tabell2[[#This Row],[Vask og rengjøring av møbler]]=2,"Ja",Tabell2[[#This Row],[Emballasjen skal være resirkulerbar/ gjenbrukbar (kravet om miljøvennelig emballasje)]]=2,"Ja",Tabell2[[#This Row],[Emballasje (retur- grønt punkt, gjenvinning) (kravet om gjenvinnbar emballasje)]]=2,"Ja",Tabell2[[#This Row],[Kjemikalietabellen (unngå skadelige kjemikaler)]]=2,"Ja",Tabell2[[#This Row],[Flammehemmere]]=2,"Ja",Tabell2[[#This Row],[PVC]]=2,"Ja",Tabell2[[#This Row],[Sosiale hensyn og menneske-rettigheter er inkludert]]=2,"Ja")</f>
        <v>Ja</v>
      </c>
    </row>
    <row r="6" spans="1:84" s="2" customFormat="1" ht="14.45" customHeight="1" x14ac:dyDescent="0.25">
      <c r="A6" s="10">
        <v>2021</v>
      </c>
      <c r="B6" s="10" t="s">
        <v>211</v>
      </c>
      <c r="C6" s="60">
        <v>44203</v>
      </c>
      <c r="D6" s="37" t="s">
        <v>212</v>
      </c>
      <c r="E6" s="61">
        <v>919408049</v>
      </c>
      <c r="F6" s="36" t="s">
        <v>213</v>
      </c>
      <c r="G6" s="69" t="s">
        <v>214</v>
      </c>
      <c r="H6" s="36" t="s">
        <v>80</v>
      </c>
      <c r="I6" s="4">
        <v>39000000</v>
      </c>
      <c r="J6" s="10">
        <v>0</v>
      </c>
      <c r="K6" s="4" t="s">
        <v>75</v>
      </c>
      <c r="L6" s="21" t="s">
        <v>82</v>
      </c>
      <c r="M6" s="4">
        <v>0</v>
      </c>
      <c r="N6" s="76">
        <v>8000000</v>
      </c>
      <c r="O6" s="4">
        <v>1</v>
      </c>
      <c r="P6" s="49" t="s">
        <v>215</v>
      </c>
      <c r="Q6" s="35" t="s">
        <v>216</v>
      </c>
      <c r="R6" s="13"/>
      <c r="S6" s="80">
        <v>0</v>
      </c>
      <c r="T6" s="80">
        <v>0.4</v>
      </c>
      <c r="U6" s="80">
        <v>0.6</v>
      </c>
      <c r="V6" s="45">
        <v>0</v>
      </c>
      <c r="W6" s="123">
        <v>0</v>
      </c>
      <c r="X6" s="2">
        <v>0</v>
      </c>
      <c r="Y6" s="123">
        <v>1</v>
      </c>
      <c r="Z6" s="43">
        <v>1</v>
      </c>
      <c r="AA6" s="17">
        <v>1</v>
      </c>
      <c r="AB6" s="17">
        <v>0</v>
      </c>
      <c r="AC6" s="17">
        <v>1</v>
      </c>
      <c r="AD6" s="17">
        <v>0</v>
      </c>
      <c r="AE6" s="10">
        <v>0</v>
      </c>
      <c r="AF6" s="10">
        <v>1</v>
      </c>
      <c r="AG6" s="14">
        <v>1</v>
      </c>
      <c r="AH6" s="10">
        <v>0</v>
      </c>
      <c r="AI6" s="10">
        <v>0</v>
      </c>
      <c r="AJ6" s="10">
        <v>1</v>
      </c>
      <c r="AK6" s="10">
        <v>1</v>
      </c>
      <c r="AL6" s="15">
        <v>1</v>
      </c>
      <c r="AM6" s="15">
        <v>0</v>
      </c>
      <c r="AN6" s="15">
        <v>1</v>
      </c>
      <c r="AO6" s="98">
        <v>1</v>
      </c>
      <c r="AP6" s="15">
        <v>0</v>
      </c>
      <c r="AQ6" s="15">
        <v>0</v>
      </c>
      <c r="AR6" s="15">
        <v>0</v>
      </c>
      <c r="AS6" s="15">
        <v>0</v>
      </c>
      <c r="AT6" s="15">
        <v>0</v>
      </c>
      <c r="AU6" s="15">
        <v>0</v>
      </c>
      <c r="AV6" s="10">
        <v>5</v>
      </c>
      <c r="AW6" s="10">
        <v>1</v>
      </c>
      <c r="AX6" s="10">
        <v>0</v>
      </c>
      <c r="AY6" s="10">
        <v>0</v>
      </c>
      <c r="AZ6" s="10">
        <v>0</v>
      </c>
      <c r="BA6" s="2">
        <v>0</v>
      </c>
      <c r="BB6" s="10">
        <v>1</v>
      </c>
      <c r="BC6" s="10">
        <v>0</v>
      </c>
      <c r="BD6" s="10">
        <v>1</v>
      </c>
      <c r="BE6" s="10">
        <v>1</v>
      </c>
      <c r="BF6" s="10">
        <v>1</v>
      </c>
      <c r="BG6" s="10">
        <v>0</v>
      </c>
      <c r="BH6" s="10">
        <v>0</v>
      </c>
      <c r="BI6" s="10">
        <v>0</v>
      </c>
      <c r="BJ6" s="10">
        <v>0</v>
      </c>
      <c r="BK6" s="10">
        <v>0</v>
      </c>
      <c r="BL6" s="10">
        <v>0</v>
      </c>
      <c r="BM6" s="10">
        <v>0</v>
      </c>
      <c r="BN6" s="10">
        <v>1</v>
      </c>
      <c r="BO6" s="10">
        <v>0</v>
      </c>
      <c r="BP6" s="10">
        <v>0</v>
      </c>
      <c r="BQ6" s="10">
        <v>0</v>
      </c>
      <c r="BR6" s="45">
        <v>2</v>
      </c>
      <c r="BS6" s="20">
        <v>0</v>
      </c>
      <c r="BT6" s="48">
        <v>1</v>
      </c>
      <c r="BU6" s="20">
        <v>1</v>
      </c>
      <c r="BV6" s="20">
        <v>0</v>
      </c>
      <c r="BW6" s="82" t="s">
        <v>217</v>
      </c>
      <c r="BX6" s="21" t="s">
        <v>218</v>
      </c>
      <c r="CB6" s="2">
        <f t="shared" si="0"/>
        <v>1</v>
      </c>
      <c r="CC6" s="2">
        <f t="shared" si="1"/>
        <v>1</v>
      </c>
      <c r="CD6" s="2">
        <f t="shared" si="2"/>
        <v>1</v>
      </c>
      <c r="CE6" s="2">
        <f t="shared" si="3"/>
        <v>7</v>
      </c>
      <c r="CF6" s="2" t="str" cm="1">
        <f t="array" ref="CF6">+_xlfn.IFS(Tabell2[[#This Row],[EPD/Miljødeklarasjon - som krav, tildelingskriterium, kontraktsvilkår eller dokumentasjon]]=2,"Ja",Tabell2[[#This Row],[Bærekraftig trevirke/skogbruk - tømmerforordningen, FSC eller PEFC ]]=2,"Ja",Tabell2[[#This Row],[Krav til kvalitet / EN standarder/henvisning til Norsk møbelfakta]]=2,"Ja",Tabell2[[#This Row],[Robuste møbeltekstiler/ kvalitet på møbeltrekk]]=2,"Ja",Tabell2[[#This Row],[Design for lang levetid (Demontering, Reservedeler, produktinformasjon om montering og vedlikehold)]]=2,"Ja",Tabell2[[#This Row],[Merking av plast]]=2,"Ja",Tabell2[[#This Row],[Vask og rengjøring av møbler]]=2,"Ja",Tabell2[[#This Row],[Emballasjen skal være resirkulerbar/ gjenbrukbar (kravet om miljøvennelig emballasje)]]=2,"Ja",Tabell2[[#This Row],[Emballasje (retur- grønt punkt, gjenvinning) (kravet om gjenvinnbar emballasje)]]=2,"Ja",Tabell2[[#This Row],[Kjemikalietabellen (unngå skadelige kjemikaler)]]=2,"Ja",Tabell2[[#This Row],[Flammehemmere]]=2,"Ja",Tabell2[[#This Row],[PVC]]=2,"Ja",Tabell2[[#This Row],[Sosiale hensyn og menneske-rettigheter er inkludert]]=2,"Ja")</f>
        <v>Ja</v>
      </c>
    </row>
    <row r="7" spans="1:84" s="2" customFormat="1" ht="14.45" customHeight="1" x14ac:dyDescent="0.25">
      <c r="A7" s="10">
        <v>2021</v>
      </c>
      <c r="B7" s="10" t="s">
        <v>266</v>
      </c>
      <c r="C7" s="60">
        <v>44384</v>
      </c>
      <c r="D7" s="41" t="s">
        <v>267</v>
      </c>
      <c r="E7" s="61">
        <v>967311014</v>
      </c>
      <c r="F7" s="39" t="s">
        <v>268</v>
      </c>
      <c r="G7" s="72" t="s">
        <v>222</v>
      </c>
      <c r="H7" s="39" t="s">
        <v>80</v>
      </c>
      <c r="I7" s="4">
        <v>39130000</v>
      </c>
      <c r="J7" s="10" t="s">
        <v>81</v>
      </c>
      <c r="K7" s="4" t="s">
        <v>75</v>
      </c>
      <c r="L7" s="21" t="s">
        <v>82</v>
      </c>
      <c r="M7" s="4">
        <v>0</v>
      </c>
      <c r="N7" s="76" t="s">
        <v>81</v>
      </c>
      <c r="O7" s="4">
        <v>1</v>
      </c>
      <c r="P7" s="50" t="s">
        <v>269</v>
      </c>
      <c r="Q7" s="35" t="s">
        <v>270</v>
      </c>
      <c r="R7" s="13"/>
      <c r="S7" s="80">
        <v>0</v>
      </c>
      <c r="T7" s="80">
        <v>0.3</v>
      </c>
      <c r="U7" s="80">
        <v>0.7</v>
      </c>
      <c r="V7" s="45">
        <v>0</v>
      </c>
      <c r="W7" s="123">
        <v>0</v>
      </c>
      <c r="X7" s="2">
        <v>0</v>
      </c>
      <c r="Y7" s="123">
        <v>0</v>
      </c>
      <c r="Z7" s="43">
        <v>1</v>
      </c>
      <c r="AA7" s="17">
        <v>0</v>
      </c>
      <c r="AB7" s="17">
        <v>0</v>
      </c>
      <c r="AC7" s="17">
        <v>0</v>
      </c>
      <c r="AD7" s="17">
        <v>0</v>
      </c>
      <c r="AE7" s="10">
        <v>0</v>
      </c>
      <c r="AF7" s="10">
        <v>0</v>
      </c>
      <c r="AG7" s="14">
        <v>1</v>
      </c>
      <c r="AH7" s="10">
        <v>0</v>
      </c>
      <c r="AI7" s="10">
        <v>0</v>
      </c>
      <c r="AJ7" s="10">
        <v>0</v>
      </c>
      <c r="AK7" s="10">
        <v>0</v>
      </c>
      <c r="AL7" s="15">
        <v>0</v>
      </c>
      <c r="AM7" s="15">
        <v>0</v>
      </c>
      <c r="AN7" s="15">
        <v>0</v>
      </c>
      <c r="AO7" s="98">
        <v>0</v>
      </c>
      <c r="AP7" s="15">
        <v>0</v>
      </c>
      <c r="AQ7" s="15">
        <v>0</v>
      </c>
      <c r="AR7" s="15">
        <v>0</v>
      </c>
      <c r="AS7" s="15">
        <v>0</v>
      </c>
      <c r="AT7" s="15">
        <v>0</v>
      </c>
      <c r="AU7" s="15">
        <v>0</v>
      </c>
      <c r="AV7" s="10">
        <v>0</v>
      </c>
      <c r="AW7" s="10">
        <v>0</v>
      </c>
      <c r="AX7" s="10">
        <v>0</v>
      </c>
      <c r="AY7" s="10">
        <v>0</v>
      </c>
      <c r="AZ7" s="10">
        <v>0</v>
      </c>
      <c r="BA7" s="2">
        <v>0</v>
      </c>
      <c r="BB7" s="10">
        <v>0</v>
      </c>
      <c r="BC7" s="10">
        <v>0</v>
      </c>
      <c r="BD7" s="10">
        <v>0</v>
      </c>
      <c r="BE7" s="10">
        <v>0</v>
      </c>
      <c r="BF7" s="10">
        <v>0</v>
      </c>
      <c r="BG7" s="10">
        <v>0</v>
      </c>
      <c r="BH7" s="10">
        <v>0</v>
      </c>
      <c r="BI7" s="10">
        <v>0</v>
      </c>
      <c r="BJ7" s="10">
        <v>0</v>
      </c>
      <c r="BK7" s="10">
        <v>0</v>
      </c>
      <c r="BL7" s="10">
        <v>0</v>
      </c>
      <c r="BM7" s="10">
        <v>0</v>
      </c>
      <c r="BN7" s="10">
        <v>0</v>
      </c>
      <c r="BO7" s="10">
        <v>0</v>
      </c>
      <c r="BP7" s="10">
        <v>0</v>
      </c>
      <c r="BQ7" s="10">
        <v>0</v>
      </c>
      <c r="BR7" s="45">
        <v>0</v>
      </c>
      <c r="BS7" s="10">
        <v>0</v>
      </c>
      <c r="BT7" s="2">
        <v>0</v>
      </c>
      <c r="BU7" s="10">
        <v>0</v>
      </c>
      <c r="BV7" s="10">
        <v>0</v>
      </c>
      <c r="BW7" s="82" t="s">
        <v>93</v>
      </c>
      <c r="BX7" s="21" t="s">
        <v>271</v>
      </c>
      <c r="CB7" s="2">
        <f t="shared" si="0"/>
        <v>0</v>
      </c>
      <c r="CC7" s="2">
        <f t="shared" si="1"/>
        <v>0</v>
      </c>
      <c r="CD7" s="2">
        <f t="shared" si="2"/>
        <v>0</v>
      </c>
      <c r="CE7" s="2">
        <f t="shared" si="3"/>
        <v>8</v>
      </c>
      <c r="CF7" s="2" t="e" cm="1">
        <f t="array" ref="CF7">+_xlfn.IFS(Tabell2[[#This Row],[EPD/Miljødeklarasjon - som krav, tildelingskriterium, kontraktsvilkår eller dokumentasjon]]=2,"Ja",Tabell2[[#This Row],[Bærekraftig trevirke/skogbruk - tømmerforordningen, FSC eller PEFC ]]=2,"Ja",Tabell2[[#This Row],[Krav til kvalitet / EN standarder/henvisning til Norsk møbelfakta]]=2,"Ja",Tabell2[[#This Row],[Robuste møbeltekstiler/ kvalitet på møbeltrekk]]=2,"Ja",Tabell2[[#This Row],[Design for lang levetid (Demontering, Reservedeler, produktinformasjon om montering og vedlikehold)]]=2,"Ja",Tabell2[[#This Row],[Merking av plast]]=2,"Ja",Tabell2[[#This Row],[Vask og rengjøring av møbler]]=2,"Ja",Tabell2[[#This Row],[Emballasjen skal være resirkulerbar/ gjenbrukbar (kravet om miljøvennelig emballasje)]]=2,"Ja",Tabell2[[#This Row],[Emballasje (retur- grønt punkt, gjenvinning) (kravet om gjenvinnbar emballasje)]]=2,"Ja",Tabell2[[#This Row],[Kjemikalietabellen (unngå skadelige kjemikaler)]]=2,"Ja",Tabell2[[#This Row],[Flammehemmere]]=2,"Ja",Tabell2[[#This Row],[PVC]]=2,"Ja",Tabell2[[#This Row],[Sosiale hensyn og menneske-rettigheter er inkludert]]=2,"Ja")</f>
        <v>#N/A</v>
      </c>
    </row>
    <row r="8" spans="1:84" s="2" customFormat="1" ht="14.45" customHeight="1" x14ac:dyDescent="0.25">
      <c r="A8" s="10">
        <v>2021</v>
      </c>
      <c r="B8" s="10" t="s">
        <v>334</v>
      </c>
      <c r="C8" s="60">
        <v>44487</v>
      </c>
      <c r="D8" s="41" t="s">
        <v>335</v>
      </c>
      <c r="E8" s="61">
        <v>982019095</v>
      </c>
      <c r="F8" s="39" t="s">
        <v>336</v>
      </c>
      <c r="G8" s="72" t="s">
        <v>118</v>
      </c>
      <c r="H8" s="39" t="s">
        <v>80</v>
      </c>
      <c r="I8" s="4">
        <v>39130000</v>
      </c>
      <c r="J8" s="10">
        <v>0</v>
      </c>
      <c r="K8" s="4" t="s">
        <v>75</v>
      </c>
      <c r="L8" s="21" t="s">
        <v>81</v>
      </c>
      <c r="M8" s="4">
        <v>0</v>
      </c>
      <c r="N8" s="76">
        <v>1299000</v>
      </c>
      <c r="O8" s="4">
        <v>1</v>
      </c>
      <c r="P8" s="50" t="s">
        <v>337</v>
      </c>
      <c r="Q8" s="35" t="s">
        <v>338</v>
      </c>
      <c r="R8" s="13"/>
      <c r="S8" s="80">
        <v>0.1</v>
      </c>
      <c r="T8" s="80">
        <v>0.4</v>
      </c>
      <c r="U8" s="80">
        <v>0.5</v>
      </c>
      <c r="V8" s="45">
        <v>1</v>
      </c>
      <c r="W8" s="123">
        <v>0</v>
      </c>
      <c r="X8" s="2">
        <v>0</v>
      </c>
      <c r="Y8" s="123">
        <v>0</v>
      </c>
      <c r="Z8" s="127">
        <v>0</v>
      </c>
      <c r="AA8" s="23">
        <v>1</v>
      </c>
      <c r="AB8" s="23">
        <v>0</v>
      </c>
      <c r="AC8" s="23">
        <v>0</v>
      </c>
      <c r="AD8" s="23">
        <v>0</v>
      </c>
      <c r="AE8" s="10">
        <v>0</v>
      </c>
      <c r="AF8" s="10">
        <v>1</v>
      </c>
      <c r="AG8" s="24">
        <v>1</v>
      </c>
      <c r="AH8" s="10">
        <v>0</v>
      </c>
      <c r="AI8" s="10">
        <v>1</v>
      </c>
      <c r="AJ8" s="10">
        <v>1</v>
      </c>
      <c r="AK8" s="10">
        <v>1</v>
      </c>
      <c r="AL8" s="15">
        <v>2</v>
      </c>
      <c r="AM8" s="15">
        <v>0</v>
      </c>
      <c r="AN8" s="15">
        <v>1</v>
      </c>
      <c r="AO8" s="98">
        <v>1</v>
      </c>
      <c r="AP8" s="15">
        <v>1</v>
      </c>
      <c r="AQ8" s="15">
        <v>0</v>
      </c>
      <c r="AR8" s="15">
        <v>0</v>
      </c>
      <c r="AS8" s="15">
        <v>0</v>
      </c>
      <c r="AT8" s="15">
        <v>0</v>
      </c>
      <c r="AU8" s="15">
        <v>0</v>
      </c>
      <c r="AV8" s="10">
        <v>5</v>
      </c>
      <c r="AW8" s="10">
        <v>1</v>
      </c>
      <c r="AX8" s="10">
        <v>0</v>
      </c>
      <c r="AY8" s="10">
        <v>0</v>
      </c>
      <c r="AZ8" s="10">
        <v>1</v>
      </c>
      <c r="BA8" s="2">
        <v>0</v>
      </c>
      <c r="BB8" s="10">
        <v>2</v>
      </c>
      <c r="BC8" s="10">
        <v>0</v>
      </c>
      <c r="BD8" s="10">
        <v>1</v>
      </c>
      <c r="BE8" s="10">
        <v>1</v>
      </c>
      <c r="BF8" s="10">
        <v>1</v>
      </c>
      <c r="BG8" s="10">
        <v>0</v>
      </c>
      <c r="BH8" s="10">
        <v>1</v>
      </c>
      <c r="BI8" s="10">
        <v>1</v>
      </c>
      <c r="BJ8" s="10">
        <v>1</v>
      </c>
      <c r="BK8" s="10">
        <v>0</v>
      </c>
      <c r="BL8" s="10">
        <v>0</v>
      </c>
      <c r="BM8" s="10">
        <v>0</v>
      </c>
      <c r="BN8" s="10">
        <v>0</v>
      </c>
      <c r="BO8" s="10">
        <v>0</v>
      </c>
      <c r="BP8" s="10">
        <v>0</v>
      </c>
      <c r="BQ8" s="10">
        <v>0</v>
      </c>
      <c r="BR8" s="45">
        <v>1</v>
      </c>
      <c r="BS8" s="20">
        <v>0</v>
      </c>
      <c r="BT8" s="48">
        <v>1</v>
      </c>
      <c r="BU8" s="20">
        <v>0</v>
      </c>
      <c r="BV8" s="20">
        <v>1</v>
      </c>
      <c r="BW8" s="82" t="s">
        <v>339</v>
      </c>
      <c r="BX8" s="21"/>
      <c r="BY8" s="27"/>
      <c r="CB8" s="2">
        <f t="shared" si="0"/>
        <v>1</v>
      </c>
      <c r="CC8" s="2">
        <f t="shared" si="1"/>
        <v>1</v>
      </c>
      <c r="CD8" s="2">
        <f t="shared" si="2"/>
        <v>1</v>
      </c>
      <c r="CE8" s="2">
        <f t="shared" si="3"/>
        <v>9</v>
      </c>
      <c r="CF8" s="2" t="str" cm="1">
        <f t="array" ref="CF8">+_xlfn.IFS(Tabell2[[#This Row],[EPD/Miljødeklarasjon - som krav, tildelingskriterium, kontraktsvilkår eller dokumentasjon]]=2,"Ja",Tabell2[[#This Row],[Bærekraftig trevirke/skogbruk - tømmerforordningen, FSC eller PEFC ]]=2,"Ja",Tabell2[[#This Row],[Krav til kvalitet / EN standarder/henvisning til Norsk møbelfakta]]=2,"Ja",Tabell2[[#This Row],[Robuste møbeltekstiler/ kvalitet på møbeltrekk]]=2,"Ja",Tabell2[[#This Row],[Design for lang levetid (Demontering, Reservedeler, produktinformasjon om montering og vedlikehold)]]=2,"Ja",Tabell2[[#This Row],[Merking av plast]]=2,"Ja",Tabell2[[#This Row],[Vask og rengjøring av møbler]]=2,"Ja",Tabell2[[#This Row],[Emballasjen skal være resirkulerbar/ gjenbrukbar (kravet om miljøvennelig emballasje)]]=2,"Ja",Tabell2[[#This Row],[Emballasje (retur- grønt punkt, gjenvinning) (kravet om gjenvinnbar emballasje)]]=2,"Ja",Tabell2[[#This Row],[Kjemikalietabellen (unngå skadelige kjemikaler)]]=2,"Ja",Tabell2[[#This Row],[Flammehemmere]]=2,"Ja",Tabell2[[#This Row],[PVC]]=2,"Ja",Tabell2[[#This Row],[Sosiale hensyn og menneske-rettigheter er inkludert]]=2,"Ja")</f>
        <v>Ja</v>
      </c>
    </row>
    <row r="9" spans="1:84" s="2" customFormat="1" ht="14.45" customHeight="1" x14ac:dyDescent="0.25">
      <c r="A9" s="10">
        <v>2021</v>
      </c>
      <c r="B9" s="10" t="s">
        <v>368</v>
      </c>
      <c r="C9" s="60">
        <v>44229</v>
      </c>
      <c r="D9" s="37" t="s">
        <v>369</v>
      </c>
      <c r="E9" s="61">
        <v>964948232</v>
      </c>
      <c r="F9" s="36" t="s">
        <v>370</v>
      </c>
      <c r="G9" s="69" t="s">
        <v>79</v>
      </c>
      <c r="H9" s="36" t="s">
        <v>99</v>
      </c>
      <c r="I9" s="4">
        <v>39130000</v>
      </c>
      <c r="J9" s="10" t="s">
        <v>81</v>
      </c>
      <c r="K9" s="4" t="s">
        <v>75</v>
      </c>
      <c r="L9" s="21" t="s">
        <v>82</v>
      </c>
      <c r="M9" s="4">
        <v>0</v>
      </c>
      <c r="N9" s="76">
        <v>700000</v>
      </c>
      <c r="O9" s="4">
        <v>1</v>
      </c>
      <c r="P9" s="49" t="s">
        <v>371</v>
      </c>
      <c r="Q9" s="35" t="s">
        <v>372</v>
      </c>
      <c r="R9" s="13"/>
      <c r="S9" s="80">
        <v>0</v>
      </c>
      <c r="T9" s="80">
        <v>0.5</v>
      </c>
      <c r="U9" s="80">
        <v>0.5</v>
      </c>
      <c r="V9" s="45">
        <v>0</v>
      </c>
      <c r="W9" s="123">
        <v>0</v>
      </c>
      <c r="X9" s="2">
        <v>0</v>
      </c>
      <c r="Y9" s="123">
        <v>0</v>
      </c>
      <c r="Z9" s="43">
        <v>1</v>
      </c>
      <c r="AA9" s="17">
        <v>0</v>
      </c>
      <c r="AB9" s="17">
        <v>0</v>
      </c>
      <c r="AC9" s="17">
        <v>0</v>
      </c>
      <c r="AD9" s="17">
        <v>0</v>
      </c>
      <c r="AE9" s="10">
        <v>0</v>
      </c>
      <c r="AF9" s="10">
        <v>0</v>
      </c>
      <c r="AG9" s="14">
        <v>1</v>
      </c>
      <c r="AH9" s="10">
        <v>0</v>
      </c>
      <c r="AI9" s="10">
        <v>0</v>
      </c>
      <c r="AJ9" s="10">
        <v>1</v>
      </c>
      <c r="AK9" s="10">
        <v>2</v>
      </c>
      <c r="AL9" s="15">
        <v>2</v>
      </c>
      <c r="AM9" s="15">
        <v>0</v>
      </c>
      <c r="AN9" s="15">
        <v>0</v>
      </c>
      <c r="AO9" s="98">
        <v>1</v>
      </c>
      <c r="AP9" s="15">
        <v>0</v>
      </c>
      <c r="AQ9" s="15">
        <v>0</v>
      </c>
      <c r="AR9" s="15">
        <v>0</v>
      </c>
      <c r="AS9" s="15">
        <v>0</v>
      </c>
      <c r="AT9" s="15">
        <v>0</v>
      </c>
      <c r="AU9" s="15">
        <v>0</v>
      </c>
      <c r="AV9" s="10">
        <v>5</v>
      </c>
      <c r="AW9" s="10">
        <v>0</v>
      </c>
      <c r="AX9" s="10">
        <v>0</v>
      </c>
      <c r="AY9" s="10">
        <v>0</v>
      </c>
      <c r="AZ9" s="10">
        <v>1</v>
      </c>
      <c r="BA9" s="10">
        <v>0</v>
      </c>
      <c r="BB9" s="10">
        <v>1</v>
      </c>
      <c r="BC9" s="10">
        <v>0</v>
      </c>
      <c r="BD9" s="10">
        <v>1</v>
      </c>
      <c r="BE9" s="10">
        <v>0</v>
      </c>
      <c r="BF9" s="10">
        <v>0</v>
      </c>
      <c r="BG9" s="10">
        <v>0</v>
      </c>
      <c r="BH9" s="10">
        <v>1</v>
      </c>
      <c r="BI9" s="10">
        <v>0</v>
      </c>
      <c r="BJ9" s="10">
        <v>1</v>
      </c>
      <c r="BK9" s="10">
        <v>1</v>
      </c>
      <c r="BL9" s="10">
        <v>0</v>
      </c>
      <c r="BM9" s="10">
        <v>0</v>
      </c>
      <c r="BN9" s="10">
        <v>1</v>
      </c>
      <c r="BO9" s="10">
        <v>0</v>
      </c>
      <c r="BP9" s="10">
        <v>0</v>
      </c>
      <c r="BQ9" s="10">
        <v>0</v>
      </c>
      <c r="BR9" s="45">
        <v>1</v>
      </c>
      <c r="BS9" s="20">
        <v>0</v>
      </c>
      <c r="BT9" s="48">
        <v>1</v>
      </c>
      <c r="BU9" s="20">
        <v>0</v>
      </c>
      <c r="BV9" s="20">
        <v>0</v>
      </c>
      <c r="BW9" s="82" t="s">
        <v>373</v>
      </c>
      <c r="BX9" s="21"/>
      <c r="CB9" s="2">
        <f t="shared" si="0"/>
        <v>1</v>
      </c>
      <c r="CC9" s="2">
        <f t="shared" si="1"/>
        <v>1</v>
      </c>
      <c r="CD9" s="2">
        <f t="shared" si="2"/>
        <v>0</v>
      </c>
      <c r="CE9" s="2">
        <f t="shared" si="3"/>
        <v>10</v>
      </c>
      <c r="CF9" s="2" t="str" cm="1">
        <f t="array" ref="CF9">+_xlfn.IFS(Tabell2[[#This Row],[EPD/Miljødeklarasjon - som krav, tildelingskriterium, kontraktsvilkår eller dokumentasjon]]=2,"Ja",Tabell2[[#This Row],[Bærekraftig trevirke/skogbruk - tømmerforordningen, FSC eller PEFC ]]=2,"Ja",Tabell2[[#This Row],[Krav til kvalitet / EN standarder/henvisning til Norsk møbelfakta]]=2,"Ja",Tabell2[[#This Row],[Robuste møbeltekstiler/ kvalitet på møbeltrekk]]=2,"Ja",Tabell2[[#This Row],[Design for lang levetid (Demontering, Reservedeler, produktinformasjon om montering og vedlikehold)]]=2,"Ja",Tabell2[[#This Row],[Merking av plast]]=2,"Ja",Tabell2[[#This Row],[Vask og rengjøring av møbler]]=2,"Ja",Tabell2[[#This Row],[Emballasjen skal være resirkulerbar/ gjenbrukbar (kravet om miljøvennelig emballasje)]]=2,"Ja",Tabell2[[#This Row],[Emballasje (retur- grønt punkt, gjenvinning) (kravet om gjenvinnbar emballasje)]]=2,"Ja",Tabell2[[#This Row],[Kjemikalietabellen (unngå skadelige kjemikaler)]]=2,"Ja",Tabell2[[#This Row],[Flammehemmere]]=2,"Ja",Tabell2[[#This Row],[PVC]]=2,"Ja",Tabell2[[#This Row],[Sosiale hensyn og menneske-rettigheter er inkludert]]=2,"Ja")</f>
        <v>Ja</v>
      </c>
    </row>
    <row r="10" spans="1:84" s="2" customFormat="1" ht="14.45" customHeight="1" x14ac:dyDescent="0.25">
      <c r="A10" s="9">
        <v>2021</v>
      </c>
      <c r="B10" s="10" t="s">
        <v>76</v>
      </c>
      <c r="C10" s="60">
        <v>44337</v>
      </c>
      <c r="D10" s="37" t="s">
        <v>77</v>
      </c>
      <c r="E10" s="61">
        <v>994933272</v>
      </c>
      <c r="F10" s="36" t="s">
        <v>78</v>
      </c>
      <c r="G10" s="69" t="s">
        <v>79</v>
      </c>
      <c r="H10" s="36" t="s">
        <v>80</v>
      </c>
      <c r="I10" s="4">
        <v>39100000</v>
      </c>
      <c r="J10" s="10" t="s">
        <v>81</v>
      </c>
      <c r="K10" s="4" t="s">
        <v>75</v>
      </c>
      <c r="L10" s="9" t="s">
        <v>82</v>
      </c>
      <c r="M10" s="4">
        <v>0</v>
      </c>
      <c r="N10" s="12" t="s">
        <v>81</v>
      </c>
      <c r="O10" s="4">
        <v>1</v>
      </c>
      <c r="P10" s="49" t="s">
        <v>83</v>
      </c>
      <c r="Q10" s="35" t="s">
        <v>84</v>
      </c>
      <c r="R10" s="13"/>
      <c r="S10" s="18">
        <v>0</v>
      </c>
      <c r="T10" s="18">
        <v>0.5</v>
      </c>
      <c r="U10" s="18">
        <v>0.5</v>
      </c>
      <c r="V10" s="45">
        <v>0</v>
      </c>
      <c r="W10" s="123">
        <v>0</v>
      </c>
      <c r="X10" s="2">
        <v>0</v>
      </c>
      <c r="Y10" s="123">
        <v>0</v>
      </c>
      <c r="Z10" s="43">
        <v>0</v>
      </c>
      <c r="AA10" s="17">
        <v>0</v>
      </c>
      <c r="AB10" s="17">
        <v>0</v>
      </c>
      <c r="AC10" s="17">
        <v>0</v>
      </c>
      <c r="AD10" s="17">
        <v>0</v>
      </c>
      <c r="AE10" s="10">
        <v>0</v>
      </c>
      <c r="AF10" s="10">
        <v>0</v>
      </c>
      <c r="AG10" s="14">
        <v>0</v>
      </c>
      <c r="AH10" s="10">
        <v>0</v>
      </c>
      <c r="AI10" s="10">
        <v>0</v>
      </c>
      <c r="AJ10" s="10">
        <v>1</v>
      </c>
      <c r="AK10" s="10">
        <v>0</v>
      </c>
      <c r="AL10" s="15">
        <v>0</v>
      </c>
      <c r="AM10" s="15">
        <v>0</v>
      </c>
      <c r="AN10" s="15">
        <v>0</v>
      </c>
      <c r="AO10" s="98">
        <v>0</v>
      </c>
      <c r="AP10" s="15">
        <v>0</v>
      </c>
      <c r="AQ10" s="15">
        <v>0</v>
      </c>
      <c r="AR10" s="15">
        <v>0</v>
      </c>
      <c r="AS10" s="15">
        <v>0</v>
      </c>
      <c r="AT10" s="15">
        <v>0</v>
      </c>
      <c r="AU10" s="15">
        <v>0</v>
      </c>
      <c r="AV10" s="10">
        <v>5</v>
      </c>
      <c r="AW10" s="10">
        <v>1</v>
      </c>
      <c r="AX10" s="10">
        <v>0</v>
      </c>
      <c r="AY10" s="10">
        <v>0</v>
      </c>
      <c r="AZ10" s="10">
        <v>0</v>
      </c>
      <c r="BA10" s="2">
        <v>0</v>
      </c>
      <c r="BB10" s="10">
        <v>1</v>
      </c>
      <c r="BC10" s="10">
        <v>0</v>
      </c>
      <c r="BD10" s="10">
        <v>0</v>
      </c>
      <c r="BE10" s="10">
        <v>0</v>
      </c>
      <c r="BF10" s="10">
        <v>0</v>
      </c>
      <c r="BG10" s="10">
        <v>0</v>
      </c>
      <c r="BH10" s="10">
        <v>0</v>
      </c>
      <c r="BI10" s="10">
        <v>0</v>
      </c>
      <c r="BJ10" s="10">
        <v>0</v>
      </c>
      <c r="BK10" s="10">
        <v>0</v>
      </c>
      <c r="BL10" s="10">
        <v>0</v>
      </c>
      <c r="BM10" s="10">
        <v>0</v>
      </c>
      <c r="BN10" s="10">
        <v>0</v>
      </c>
      <c r="BO10" s="10">
        <v>0</v>
      </c>
      <c r="BP10" s="10">
        <v>0</v>
      </c>
      <c r="BQ10" s="10">
        <v>0</v>
      </c>
      <c r="BR10" s="45">
        <v>1</v>
      </c>
      <c r="BS10" s="20">
        <v>0</v>
      </c>
      <c r="BT10" s="48">
        <v>0</v>
      </c>
      <c r="BU10" s="20">
        <v>0</v>
      </c>
      <c r="BV10" s="20">
        <v>1</v>
      </c>
      <c r="BW10" s="82" t="s">
        <v>85</v>
      </c>
      <c r="BX10" s="21"/>
      <c r="CB10" s="2">
        <f t="shared" si="0"/>
        <v>1</v>
      </c>
      <c r="CC10" s="2">
        <f t="shared" si="1"/>
        <v>1</v>
      </c>
      <c r="CD10" s="2">
        <f t="shared" si="2"/>
        <v>0</v>
      </c>
      <c r="CE10" s="2">
        <f t="shared" si="3"/>
        <v>11</v>
      </c>
      <c r="CF10" s="2" t="e" cm="1">
        <f t="array" ref="CF10">+_xlfn.IFS(Tabell2[[#This Row],[EPD/Miljødeklarasjon - som krav, tildelingskriterium, kontraktsvilkår eller dokumentasjon]]=2,"Ja",Tabell2[[#This Row],[Bærekraftig trevirke/skogbruk - tømmerforordningen, FSC eller PEFC ]]=2,"Ja",Tabell2[[#This Row],[Krav til kvalitet / EN standarder/henvisning til Norsk møbelfakta]]=2,"Ja",Tabell2[[#This Row],[Robuste møbeltekstiler/ kvalitet på møbeltrekk]]=2,"Ja",Tabell2[[#This Row],[Design for lang levetid (Demontering, Reservedeler, produktinformasjon om montering og vedlikehold)]]=2,"Ja",Tabell2[[#This Row],[Merking av plast]]=2,"Ja",Tabell2[[#This Row],[Vask og rengjøring av møbler]]=2,"Ja",Tabell2[[#This Row],[Emballasjen skal være resirkulerbar/ gjenbrukbar (kravet om miljøvennelig emballasje)]]=2,"Ja",Tabell2[[#This Row],[Emballasje (retur- grønt punkt, gjenvinning) (kravet om gjenvinnbar emballasje)]]=2,"Ja",Tabell2[[#This Row],[Kjemikalietabellen (unngå skadelige kjemikaler)]]=2,"Ja",Tabell2[[#This Row],[Flammehemmere]]=2,"Ja",Tabell2[[#This Row],[PVC]]=2,"Ja",Tabell2[[#This Row],[Sosiale hensyn og menneske-rettigheter er inkludert]]=2,"Ja")</f>
        <v>#N/A</v>
      </c>
    </row>
    <row r="11" spans="1:84" s="2" customFormat="1" ht="14.45" customHeight="1" x14ac:dyDescent="0.25">
      <c r="A11" s="10">
        <v>2021</v>
      </c>
      <c r="B11" s="10" t="s">
        <v>87</v>
      </c>
      <c r="C11" s="60">
        <v>44520</v>
      </c>
      <c r="D11" s="37" t="s">
        <v>88</v>
      </c>
      <c r="E11" s="61">
        <v>986128433</v>
      </c>
      <c r="F11" s="36" t="s">
        <v>89</v>
      </c>
      <c r="G11" s="69" t="s">
        <v>90</v>
      </c>
      <c r="H11" s="36" t="s">
        <v>80</v>
      </c>
      <c r="I11" s="4">
        <v>39130000</v>
      </c>
      <c r="J11" s="10">
        <v>0</v>
      </c>
      <c r="K11" s="4" t="s">
        <v>75</v>
      </c>
      <c r="L11" s="21" t="s">
        <v>82</v>
      </c>
      <c r="M11" s="4">
        <v>0</v>
      </c>
      <c r="N11" s="76">
        <v>15000000</v>
      </c>
      <c r="O11" s="4">
        <v>1</v>
      </c>
      <c r="P11" s="49" t="s">
        <v>91</v>
      </c>
      <c r="Q11" s="35" t="s">
        <v>92</v>
      </c>
      <c r="R11" s="13"/>
      <c r="S11" s="80">
        <v>0</v>
      </c>
      <c r="T11" s="80">
        <v>0.6</v>
      </c>
      <c r="U11" s="80">
        <v>0.4</v>
      </c>
      <c r="V11" s="45">
        <v>0</v>
      </c>
      <c r="W11" s="123">
        <v>0</v>
      </c>
      <c r="X11" s="2">
        <v>0</v>
      </c>
      <c r="Y11" s="123">
        <v>0</v>
      </c>
      <c r="Z11" s="43">
        <v>0</v>
      </c>
      <c r="AA11" s="17">
        <v>1</v>
      </c>
      <c r="AB11" s="17">
        <v>0</v>
      </c>
      <c r="AC11" s="17">
        <v>1</v>
      </c>
      <c r="AD11" s="17">
        <v>0</v>
      </c>
      <c r="AE11" s="10">
        <v>1</v>
      </c>
      <c r="AF11" s="10">
        <v>0</v>
      </c>
      <c r="AG11" s="14">
        <v>0</v>
      </c>
      <c r="AH11" s="10">
        <v>0</v>
      </c>
      <c r="AI11" s="10">
        <v>0</v>
      </c>
      <c r="AJ11" s="10">
        <v>1</v>
      </c>
      <c r="AK11" s="10">
        <v>2</v>
      </c>
      <c r="AL11" s="15">
        <v>1</v>
      </c>
      <c r="AM11" s="15">
        <v>0</v>
      </c>
      <c r="AN11" s="15">
        <v>0</v>
      </c>
      <c r="AO11" s="98">
        <v>0</v>
      </c>
      <c r="AP11" s="15">
        <v>0</v>
      </c>
      <c r="AQ11" s="15">
        <v>0</v>
      </c>
      <c r="AR11" s="15">
        <v>0</v>
      </c>
      <c r="AS11" s="15">
        <v>1</v>
      </c>
      <c r="AT11" s="15">
        <v>1</v>
      </c>
      <c r="AU11" s="15">
        <v>0</v>
      </c>
      <c r="AV11" s="10" t="s">
        <v>93</v>
      </c>
      <c r="AW11" s="10">
        <v>0</v>
      </c>
      <c r="AX11" s="10">
        <v>0</v>
      </c>
      <c r="AY11" s="10">
        <v>0</v>
      </c>
      <c r="AZ11" s="10">
        <v>0</v>
      </c>
      <c r="BA11" s="2">
        <v>0</v>
      </c>
      <c r="BB11" s="10">
        <v>0</v>
      </c>
      <c r="BC11" s="10">
        <v>0</v>
      </c>
      <c r="BD11" s="10">
        <v>1</v>
      </c>
      <c r="BE11" s="10">
        <v>0</v>
      </c>
      <c r="BF11" s="10">
        <v>1</v>
      </c>
      <c r="BG11" s="10">
        <v>0</v>
      </c>
      <c r="BH11" s="10">
        <v>0</v>
      </c>
      <c r="BI11" s="10">
        <v>0</v>
      </c>
      <c r="BJ11" s="10">
        <v>2</v>
      </c>
      <c r="BK11" s="10">
        <v>0</v>
      </c>
      <c r="BL11" s="10">
        <v>0</v>
      </c>
      <c r="BM11" s="10">
        <v>0</v>
      </c>
      <c r="BN11" s="10">
        <v>1</v>
      </c>
      <c r="BO11" s="10">
        <v>0</v>
      </c>
      <c r="BP11" s="10">
        <v>0</v>
      </c>
      <c r="BQ11" s="10">
        <v>0</v>
      </c>
      <c r="BR11" s="45">
        <v>2</v>
      </c>
      <c r="BS11" s="20">
        <v>0</v>
      </c>
      <c r="BT11" s="48">
        <v>1</v>
      </c>
      <c r="BU11" s="20">
        <v>0</v>
      </c>
      <c r="BV11" s="20">
        <v>0</v>
      </c>
      <c r="BW11" s="82" t="s">
        <v>94</v>
      </c>
      <c r="BX11" s="21"/>
      <c r="CB11" s="2">
        <f t="shared" si="0"/>
        <v>1</v>
      </c>
      <c r="CC11" s="2">
        <f t="shared" si="1"/>
        <v>1</v>
      </c>
      <c r="CD11" s="2">
        <f t="shared" si="2"/>
        <v>1</v>
      </c>
      <c r="CE11" s="2">
        <f t="shared" si="3"/>
        <v>12</v>
      </c>
      <c r="CF11" s="2" t="str" cm="1">
        <f t="array" ref="CF11">+_xlfn.IFS(Tabell2[[#This Row],[EPD/Miljødeklarasjon - som krav, tildelingskriterium, kontraktsvilkår eller dokumentasjon]]=2,"Ja",Tabell2[[#This Row],[Bærekraftig trevirke/skogbruk - tømmerforordningen, FSC eller PEFC ]]=2,"Ja",Tabell2[[#This Row],[Krav til kvalitet / EN standarder/henvisning til Norsk møbelfakta]]=2,"Ja",Tabell2[[#This Row],[Robuste møbeltekstiler/ kvalitet på møbeltrekk]]=2,"Ja",Tabell2[[#This Row],[Design for lang levetid (Demontering, Reservedeler, produktinformasjon om montering og vedlikehold)]]=2,"Ja",Tabell2[[#This Row],[Merking av plast]]=2,"Ja",Tabell2[[#This Row],[Vask og rengjøring av møbler]]=2,"Ja",Tabell2[[#This Row],[Emballasjen skal være resirkulerbar/ gjenbrukbar (kravet om miljøvennelig emballasje)]]=2,"Ja",Tabell2[[#This Row],[Emballasje (retur- grønt punkt, gjenvinning) (kravet om gjenvinnbar emballasje)]]=2,"Ja",Tabell2[[#This Row],[Kjemikalietabellen (unngå skadelige kjemikaler)]]=2,"Ja",Tabell2[[#This Row],[Flammehemmere]]=2,"Ja",Tabell2[[#This Row],[PVC]]=2,"Ja",Tabell2[[#This Row],[Sosiale hensyn og menneske-rettigheter er inkludert]]=2,"Ja")</f>
        <v>Ja</v>
      </c>
    </row>
    <row r="12" spans="1:84" s="2" customFormat="1" ht="14.45" customHeight="1" x14ac:dyDescent="0.25">
      <c r="A12" s="10">
        <v>2021</v>
      </c>
      <c r="B12" s="26" t="s">
        <v>95</v>
      </c>
      <c r="C12" s="65">
        <v>44442</v>
      </c>
      <c r="D12" s="41" t="s">
        <v>96</v>
      </c>
      <c r="E12" s="67">
        <v>964338531</v>
      </c>
      <c r="F12" s="37" t="s">
        <v>97</v>
      </c>
      <c r="G12" s="70" t="s">
        <v>98</v>
      </c>
      <c r="H12" s="37" t="s">
        <v>99</v>
      </c>
      <c r="I12" s="74">
        <v>39131100</v>
      </c>
      <c r="J12" s="26" t="s">
        <v>81</v>
      </c>
      <c r="K12" s="74" t="s">
        <v>75</v>
      </c>
      <c r="L12" s="30" t="s">
        <v>81</v>
      </c>
      <c r="M12" s="74">
        <v>0</v>
      </c>
      <c r="N12" s="77" t="s">
        <v>81</v>
      </c>
      <c r="O12" s="74">
        <v>1</v>
      </c>
      <c r="P12" s="49" t="s">
        <v>100</v>
      </c>
      <c r="Q12" s="35" t="s">
        <v>101</v>
      </c>
      <c r="R12" s="13"/>
      <c r="S12" s="80">
        <v>0</v>
      </c>
      <c r="T12" s="80">
        <v>0.4</v>
      </c>
      <c r="U12" s="80">
        <v>0.6</v>
      </c>
      <c r="V12" s="45">
        <v>0</v>
      </c>
      <c r="W12" s="123">
        <v>0</v>
      </c>
      <c r="X12" s="2">
        <v>0</v>
      </c>
      <c r="Y12" s="123">
        <v>0</v>
      </c>
      <c r="Z12" s="81">
        <v>0</v>
      </c>
      <c r="AA12" s="14">
        <v>0</v>
      </c>
      <c r="AB12" s="14">
        <v>0</v>
      </c>
      <c r="AC12" s="14">
        <v>0</v>
      </c>
      <c r="AD12" s="14">
        <v>0</v>
      </c>
      <c r="AE12" s="10">
        <v>0</v>
      </c>
      <c r="AF12" s="10">
        <v>0</v>
      </c>
      <c r="AG12" s="14">
        <v>0</v>
      </c>
      <c r="AH12" s="10">
        <v>0</v>
      </c>
      <c r="AI12" s="10">
        <v>0</v>
      </c>
      <c r="AJ12" s="10">
        <v>0</v>
      </c>
      <c r="AK12" s="10">
        <v>0</v>
      </c>
      <c r="AL12" s="15">
        <v>0</v>
      </c>
      <c r="AM12" s="15">
        <v>0</v>
      </c>
      <c r="AN12" s="15">
        <v>0</v>
      </c>
      <c r="AO12" s="98">
        <v>0</v>
      </c>
      <c r="AP12" s="15">
        <v>0</v>
      </c>
      <c r="AQ12" s="15">
        <v>0</v>
      </c>
      <c r="AR12" s="15">
        <v>0</v>
      </c>
      <c r="AS12" s="15">
        <v>0</v>
      </c>
      <c r="AT12" s="15">
        <v>0</v>
      </c>
      <c r="AU12" s="15">
        <v>0</v>
      </c>
      <c r="AV12" s="10">
        <v>2</v>
      </c>
      <c r="AW12" s="10">
        <v>0</v>
      </c>
      <c r="AX12" s="10">
        <v>0</v>
      </c>
      <c r="AY12" s="10">
        <v>0</v>
      </c>
      <c r="AZ12" s="10">
        <v>1</v>
      </c>
      <c r="BA12" s="2">
        <v>0</v>
      </c>
      <c r="BB12" s="10">
        <v>1</v>
      </c>
      <c r="BC12" s="10">
        <v>0</v>
      </c>
      <c r="BD12" s="10">
        <v>0</v>
      </c>
      <c r="BE12" s="10">
        <v>0</v>
      </c>
      <c r="BF12" s="10">
        <v>0</v>
      </c>
      <c r="BG12" s="10">
        <v>0</v>
      </c>
      <c r="BH12" s="10">
        <v>0</v>
      </c>
      <c r="BI12" s="10">
        <v>0</v>
      </c>
      <c r="BJ12" s="10">
        <v>0</v>
      </c>
      <c r="BK12" s="10">
        <v>0</v>
      </c>
      <c r="BL12" s="10">
        <v>0</v>
      </c>
      <c r="BM12" s="10">
        <v>0</v>
      </c>
      <c r="BN12" s="10">
        <v>0</v>
      </c>
      <c r="BO12" s="10">
        <v>0</v>
      </c>
      <c r="BP12" s="10">
        <v>0</v>
      </c>
      <c r="BQ12" s="10">
        <v>0</v>
      </c>
      <c r="BR12" s="45">
        <v>0</v>
      </c>
      <c r="BS12" s="20">
        <v>0</v>
      </c>
      <c r="BT12" s="48">
        <v>0</v>
      </c>
      <c r="BU12" s="20">
        <v>0</v>
      </c>
      <c r="BV12" s="20">
        <v>0</v>
      </c>
      <c r="BW12" s="82" t="s">
        <v>93</v>
      </c>
      <c r="BX12" s="21"/>
      <c r="CB12" s="2">
        <f t="shared" si="0"/>
        <v>0</v>
      </c>
      <c r="CC12" s="2">
        <f t="shared" si="1"/>
        <v>0</v>
      </c>
      <c r="CD12" s="2">
        <f t="shared" si="2"/>
        <v>0</v>
      </c>
      <c r="CE12" s="2">
        <f t="shared" si="3"/>
        <v>13</v>
      </c>
      <c r="CF12" s="2" t="e" cm="1">
        <f t="array" ref="CF12">+_xlfn.IFS(Tabell2[[#This Row],[EPD/Miljødeklarasjon - som krav, tildelingskriterium, kontraktsvilkår eller dokumentasjon]]=2,"Ja",Tabell2[[#This Row],[Bærekraftig trevirke/skogbruk - tømmerforordningen, FSC eller PEFC ]]=2,"Ja",Tabell2[[#This Row],[Krav til kvalitet / EN standarder/henvisning til Norsk møbelfakta]]=2,"Ja",Tabell2[[#This Row],[Robuste møbeltekstiler/ kvalitet på møbeltrekk]]=2,"Ja",Tabell2[[#This Row],[Design for lang levetid (Demontering, Reservedeler, produktinformasjon om montering og vedlikehold)]]=2,"Ja",Tabell2[[#This Row],[Merking av plast]]=2,"Ja",Tabell2[[#This Row],[Vask og rengjøring av møbler]]=2,"Ja",Tabell2[[#This Row],[Emballasjen skal være resirkulerbar/ gjenbrukbar (kravet om miljøvennelig emballasje)]]=2,"Ja",Tabell2[[#This Row],[Emballasje (retur- grønt punkt, gjenvinning) (kravet om gjenvinnbar emballasje)]]=2,"Ja",Tabell2[[#This Row],[Kjemikalietabellen (unngå skadelige kjemikaler)]]=2,"Ja",Tabell2[[#This Row],[Flammehemmere]]=2,"Ja",Tabell2[[#This Row],[PVC]]=2,"Ja",Tabell2[[#This Row],[Sosiale hensyn og menneske-rettigheter er inkludert]]=2,"Ja")</f>
        <v>#N/A</v>
      </c>
    </row>
    <row r="13" spans="1:84" s="2" customFormat="1" ht="14.45" customHeight="1" x14ac:dyDescent="0.25">
      <c r="A13" s="11">
        <v>2021</v>
      </c>
      <c r="B13" s="11" t="s">
        <v>102</v>
      </c>
      <c r="C13" s="66">
        <v>44334</v>
      </c>
      <c r="D13" s="41" t="s">
        <v>103</v>
      </c>
      <c r="E13" s="68">
        <v>964338531</v>
      </c>
      <c r="F13" s="38" t="s">
        <v>104</v>
      </c>
      <c r="G13" s="71" t="s">
        <v>98</v>
      </c>
      <c r="H13" s="38" t="s">
        <v>99</v>
      </c>
      <c r="I13" s="75">
        <v>39131100</v>
      </c>
      <c r="J13" s="11" t="s">
        <v>81</v>
      </c>
      <c r="K13" s="75" t="s">
        <v>75</v>
      </c>
      <c r="L13" s="28" t="s">
        <v>105</v>
      </c>
      <c r="M13" s="75">
        <v>0</v>
      </c>
      <c r="N13" s="78" t="s">
        <v>81</v>
      </c>
      <c r="O13" s="75">
        <v>1</v>
      </c>
      <c r="P13" s="49" t="s">
        <v>106</v>
      </c>
      <c r="Q13" s="35" t="s">
        <v>101</v>
      </c>
      <c r="R13" s="13"/>
      <c r="S13" s="80">
        <v>0</v>
      </c>
      <c r="T13" s="80">
        <v>0.4</v>
      </c>
      <c r="U13" s="80">
        <v>0.6</v>
      </c>
      <c r="V13" s="46">
        <v>0</v>
      </c>
      <c r="W13" s="124">
        <v>0</v>
      </c>
      <c r="X13" s="7">
        <v>0</v>
      </c>
      <c r="Y13" s="124">
        <v>0</v>
      </c>
      <c r="Z13" s="128">
        <v>0</v>
      </c>
      <c r="AA13" s="32">
        <v>0</v>
      </c>
      <c r="AB13" s="32">
        <v>0</v>
      </c>
      <c r="AC13" s="32">
        <v>0</v>
      </c>
      <c r="AD13" s="32">
        <v>0</v>
      </c>
      <c r="AE13" s="11">
        <v>0</v>
      </c>
      <c r="AF13" s="11">
        <v>0</v>
      </c>
      <c r="AG13" s="32">
        <v>0</v>
      </c>
      <c r="AH13" s="11">
        <v>0</v>
      </c>
      <c r="AI13" s="11">
        <v>0</v>
      </c>
      <c r="AJ13" s="11">
        <v>0</v>
      </c>
      <c r="AK13" s="11">
        <v>0</v>
      </c>
      <c r="AL13" s="33">
        <v>0</v>
      </c>
      <c r="AM13" s="33">
        <v>0</v>
      </c>
      <c r="AN13" s="33">
        <v>0</v>
      </c>
      <c r="AO13" s="99">
        <v>0</v>
      </c>
      <c r="AP13" s="33">
        <v>0</v>
      </c>
      <c r="AQ13" s="33">
        <v>0</v>
      </c>
      <c r="AR13" s="33">
        <v>0</v>
      </c>
      <c r="AS13" s="33">
        <v>0</v>
      </c>
      <c r="AT13" s="33">
        <v>0</v>
      </c>
      <c r="AU13" s="33">
        <v>0</v>
      </c>
      <c r="AV13" s="11">
        <v>2</v>
      </c>
      <c r="AW13" s="11">
        <v>0</v>
      </c>
      <c r="AX13" s="11">
        <v>0</v>
      </c>
      <c r="AY13" s="11">
        <v>0</v>
      </c>
      <c r="AZ13" s="11">
        <v>1</v>
      </c>
      <c r="BA13" s="7">
        <v>0</v>
      </c>
      <c r="BB13" s="11">
        <v>1</v>
      </c>
      <c r="BC13" s="11">
        <v>0</v>
      </c>
      <c r="BD13" s="11">
        <v>0</v>
      </c>
      <c r="BE13" s="11">
        <v>0</v>
      </c>
      <c r="BF13" s="11">
        <v>0</v>
      </c>
      <c r="BG13" s="11">
        <v>0</v>
      </c>
      <c r="BH13" s="11">
        <v>0</v>
      </c>
      <c r="BI13" s="11">
        <v>0</v>
      </c>
      <c r="BJ13" s="11">
        <v>0</v>
      </c>
      <c r="BK13" s="11">
        <v>0</v>
      </c>
      <c r="BL13" s="11">
        <v>0</v>
      </c>
      <c r="BM13" s="11">
        <v>0</v>
      </c>
      <c r="BN13" s="11">
        <v>0</v>
      </c>
      <c r="BO13" s="11">
        <v>0</v>
      </c>
      <c r="BP13" s="11">
        <v>0</v>
      </c>
      <c r="BQ13" s="11">
        <v>0</v>
      </c>
      <c r="BR13" s="46">
        <v>0</v>
      </c>
      <c r="BS13" s="20">
        <v>0</v>
      </c>
      <c r="BT13" s="48">
        <v>0</v>
      </c>
      <c r="BU13" s="20">
        <v>0</v>
      </c>
      <c r="BV13" s="20">
        <v>0</v>
      </c>
      <c r="BW13" s="82" t="s">
        <v>93</v>
      </c>
      <c r="BX13" s="28"/>
      <c r="CB13" s="2">
        <f t="shared" si="0"/>
        <v>0</v>
      </c>
      <c r="CC13" s="2">
        <f t="shared" si="1"/>
        <v>0</v>
      </c>
      <c r="CD13" s="2">
        <f t="shared" si="2"/>
        <v>0</v>
      </c>
      <c r="CE13" s="2">
        <f t="shared" si="3"/>
        <v>14</v>
      </c>
      <c r="CF13" s="2" t="e" cm="1">
        <f t="array" ref="CF13">+_xlfn.IFS(Tabell2[[#This Row],[EPD/Miljødeklarasjon - som krav, tildelingskriterium, kontraktsvilkår eller dokumentasjon]]=2,"Ja",Tabell2[[#This Row],[Bærekraftig trevirke/skogbruk - tømmerforordningen, FSC eller PEFC ]]=2,"Ja",Tabell2[[#This Row],[Krav til kvalitet / EN standarder/henvisning til Norsk møbelfakta]]=2,"Ja",Tabell2[[#This Row],[Robuste møbeltekstiler/ kvalitet på møbeltrekk]]=2,"Ja",Tabell2[[#This Row],[Design for lang levetid (Demontering, Reservedeler, produktinformasjon om montering og vedlikehold)]]=2,"Ja",Tabell2[[#This Row],[Merking av plast]]=2,"Ja",Tabell2[[#This Row],[Vask og rengjøring av møbler]]=2,"Ja",Tabell2[[#This Row],[Emballasjen skal være resirkulerbar/ gjenbrukbar (kravet om miljøvennelig emballasje)]]=2,"Ja",Tabell2[[#This Row],[Emballasje (retur- grønt punkt, gjenvinning) (kravet om gjenvinnbar emballasje)]]=2,"Ja",Tabell2[[#This Row],[Kjemikalietabellen (unngå skadelige kjemikaler)]]=2,"Ja",Tabell2[[#This Row],[Flammehemmere]]=2,"Ja",Tabell2[[#This Row],[PVC]]=2,"Ja",Tabell2[[#This Row],[Sosiale hensyn og menneske-rettigheter er inkludert]]=2,"Ja")</f>
        <v>#N/A</v>
      </c>
    </row>
    <row r="14" spans="1:84" s="2" customFormat="1" ht="14.45" customHeight="1" x14ac:dyDescent="0.25">
      <c r="A14" s="10">
        <v>2021</v>
      </c>
      <c r="B14" s="26" t="s">
        <v>113</v>
      </c>
      <c r="C14" s="65">
        <v>44470</v>
      </c>
      <c r="D14" s="37" t="s">
        <v>114</v>
      </c>
      <c r="E14" s="67">
        <v>964338531</v>
      </c>
      <c r="F14" s="37" t="s">
        <v>115</v>
      </c>
      <c r="G14" s="70" t="s">
        <v>98</v>
      </c>
      <c r="H14" s="37" t="s">
        <v>99</v>
      </c>
      <c r="I14" s="74">
        <v>39131100</v>
      </c>
      <c r="J14" s="26" t="s">
        <v>81</v>
      </c>
      <c r="K14" s="74" t="s">
        <v>75</v>
      </c>
      <c r="L14" s="30" t="s">
        <v>81</v>
      </c>
      <c r="M14" s="74">
        <v>0</v>
      </c>
      <c r="N14" s="77" t="s">
        <v>81</v>
      </c>
      <c r="O14" s="74">
        <v>1</v>
      </c>
      <c r="P14" s="49" t="s">
        <v>116</v>
      </c>
      <c r="Q14" s="35" t="s">
        <v>101</v>
      </c>
      <c r="R14" s="13"/>
      <c r="S14" s="80">
        <v>0</v>
      </c>
      <c r="T14" s="80">
        <v>0.4</v>
      </c>
      <c r="U14" s="80">
        <v>0.6</v>
      </c>
      <c r="V14" s="47">
        <v>0</v>
      </c>
      <c r="W14" s="125">
        <v>0</v>
      </c>
      <c r="X14" s="27">
        <v>0</v>
      </c>
      <c r="Y14" s="125">
        <v>0</v>
      </c>
      <c r="Z14" s="42">
        <v>0</v>
      </c>
      <c r="AA14" s="29">
        <v>0</v>
      </c>
      <c r="AB14" s="29">
        <v>0</v>
      </c>
      <c r="AC14" s="29">
        <v>0</v>
      </c>
      <c r="AD14" s="29">
        <v>0</v>
      </c>
      <c r="AE14" s="29">
        <v>0</v>
      </c>
      <c r="AF14" s="29">
        <v>0</v>
      </c>
      <c r="AG14" s="29">
        <v>0</v>
      </c>
      <c r="AH14" s="29">
        <v>0</v>
      </c>
      <c r="AI14" s="29">
        <v>0</v>
      </c>
      <c r="AJ14" s="29">
        <v>0</v>
      </c>
      <c r="AK14" s="29">
        <v>0</v>
      </c>
      <c r="AL14" s="42">
        <v>0</v>
      </c>
      <c r="AM14" s="42">
        <v>0</v>
      </c>
      <c r="AN14" s="42">
        <v>0</v>
      </c>
      <c r="AO14" s="42">
        <v>0</v>
      </c>
      <c r="AP14" s="42">
        <v>0</v>
      </c>
      <c r="AQ14" s="42">
        <v>0</v>
      </c>
      <c r="AR14" s="42">
        <v>0</v>
      </c>
      <c r="AS14" s="42">
        <v>0</v>
      </c>
      <c r="AT14" s="42">
        <v>0</v>
      </c>
      <c r="AU14" s="42">
        <v>0</v>
      </c>
      <c r="AV14" s="26">
        <v>2</v>
      </c>
      <c r="AW14" s="26">
        <v>0</v>
      </c>
      <c r="AX14" s="26">
        <v>0</v>
      </c>
      <c r="AY14" s="26">
        <v>0</v>
      </c>
      <c r="AZ14" s="26">
        <v>1</v>
      </c>
      <c r="BA14" s="27">
        <v>0</v>
      </c>
      <c r="BB14" s="26">
        <v>1</v>
      </c>
      <c r="BC14" s="26">
        <v>0</v>
      </c>
      <c r="BD14" s="26">
        <v>0</v>
      </c>
      <c r="BE14" s="26">
        <v>0</v>
      </c>
      <c r="BF14" s="26">
        <v>0</v>
      </c>
      <c r="BG14" s="26">
        <v>0</v>
      </c>
      <c r="BH14" s="26">
        <v>0</v>
      </c>
      <c r="BI14" s="26">
        <v>0</v>
      </c>
      <c r="BJ14" s="26">
        <v>0</v>
      </c>
      <c r="BK14" s="26">
        <v>0</v>
      </c>
      <c r="BL14" s="26">
        <v>0</v>
      </c>
      <c r="BM14" s="26">
        <v>0</v>
      </c>
      <c r="BN14" s="26">
        <v>0</v>
      </c>
      <c r="BO14" s="26">
        <v>0</v>
      </c>
      <c r="BP14" s="26">
        <v>0</v>
      </c>
      <c r="BQ14" s="26">
        <v>0</v>
      </c>
      <c r="BR14" s="47">
        <v>0</v>
      </c>
      <c r="BS14" s="20">
        <v>0</v>
      </c>
      <c r="BT14" s="48">
        <v>0</v>
      </c>
      <c r="BU14" s="20">
        <v>0</v>
      </c>
      <c r="BV14" s="20">
        <v>0</v>
      </c>
      <c r="BW14" s="82" t="s">
        <v>93</v>
      </c>
      <c r="BX14" s="30"/>
      <c r="CB14" s="2">
        <f t="shared" si="0"/>
        <v>0</v>
      </c>
      <c r="CC14" s="2">
        <f t="shared" si="1"/>
        <v>0</v>
      </c>
      <c r="CD14" s="2">
        <f t="shared" si="2"/>
        <v>0</v>
      </c>
      <c r="CE14" s="2">
        <f t="shared" si="3"/>
        <v>15</v>
      </c>
      <c r="CF14" s="2" t="e" cm="1">
        <f t="array" ref="CF14">+_xlfn.IFS(Tabell2[[#This Row],[EPD/Miljødeklarasjon - som krav, tildelingskriterium, kontraktsvilkår eller dokumentasjon]]=2,"Ja",Tabell2[[#This Row],[Bærekraftig trevirke/skogbruk - tømmerforordningen, FSC eller PEFC ]]=2,"Ja",Tabell2[[#This Row],[Krav til kvalitet / EN standarder/henvisning til Norsk møbelfakta]]=2,"Ja",Tabell2[[#This Row],[Robuste møbeltekstiler/ kvalitet på møbeltrekk]]=2,"Ja",Tabell2[[#This Row],[Design for lang levetid (Demontering, Reservedeler, produktinformasjon om montering og vedlikehold)]]=2,"Ja",Tabell2[[#This Row],[Merking av plast]]=2,"Ja",Tabell2[[#This Row],[Vask og rengjøring av møbler]]=2,"Ja",Tabell2[[#This Row],[Emballasjen skal være resirkulerbar/ gjenbrukbar (kravet om miljøvennelig emballasje)]]=2,"Ja",Tabell2[[#This Row],[Emballasje (retur- grønt punkt, gjenvinning) (kravet om gjenvinnbar emballasje)]]=2,"Ja",Tabell2[[#This Row],[Kjemikalietabellen (unngå skadelige kjemikaler)]]=2,"Ja",Tabell2[[#This Row],[Flammehemmere]]=2,"Ja",Tabell2[[#This Row],[PVC]]=2,"Ja",Tabell2[[#This Row],[Sosiale hensyn og menneske-rettigheter er inkludert]]=2,"Ja")</f>
        <v>#N/A</v>
      </c>
    </row>
    <row r="15" spans="1:84" s="2" customFormat="1" ht="14.45" customHeight="1" x14ac:dyDescent="0.25">
      <c r="A15" s="10">
        <v>2021</v>
      </c>
      <c r="B15" s="10" t="s">
        <v>119</v>
      </c>
      <c r="C15" s="60">
        <v>44224</v>
      </c>
      <c r="D15" s="37" t="s">
        <v>120</v>
      </c>
      <c r="E15" s="61">
        <v>970963340</v>
      </c>
      <c r="F15" s="36" t="s">
        <v>121</v>
      </c>
      <c r="G15" s="69" t="s">
        <v>122</v>
      </c>
      <c r="H15" s="36" t="s">
        <v>80</v>
      </c>
      <c r="I15" s="4">
        <v>39130000</v>
      </c>
      <c r="J15" s="10">
        <v>0</v>
      </c>
      <c r="K15" s="4" t="s">
        <v>75</v>
      </c>
      <c r="L15" s="21" t="s">
        <v>82</v>
      </c>
      <c r="M15" s="4">
        <v>0</v>
      </c>
      <c r="N15" s="76">
        <v>7000000</v>
      </c>
      <c r="O15" s="4">
        <v>1</v>
      </c>
      <c r="P15" s="49" t="s">
        <v>123</v>
      </c>
      <c r="Q15" s="35" t="s">
        <v>124</v>
      </c>
      <c r="R15" s="13"/>
      <c r="S15" s="80">
        <v>0</v>
      </c>
      <c r="T15" s="80">
        <v>0.6</v>
      </c>
      <c r="U15" s="80">
        <v>0.4</v>
      </c>
      <c r="V15" s="45">
        <v>0</v>
      </c>
      <c r="W15" s="123">
        <v>0</v>
      </c>
      <c r="X15" s="2">
        <v>0</v>
      </c>
      <c r="Y15" s="123">
        <v>0</v>
      </c>
      <c r="Z15" s="43">
        <v>0</v>
      </c>
      <c r="AA15" s="17">
        <v>0</v>
      </c>
      <c r="AB15" s="17">
        <v>0</v>
      </c>
      <c r="AC15" s="17">
        <v>0</v>
      </c>
      <c r="AD15" s="17">
        <v>0</v>
      </c>
      <c r="AE15" s="17">
        <v>0</v>
      </c>
      <c r="AF15" s="17">
        <v>0</v>
      </c>
      <c r="AG15" s="14">
        <v>0</v>
      </c>
      <c r="AH15" s="17">
        <v>0</v>
      </c>
      <c r="AI15" s="14">
        <v>0</v>
      </c>
      <c r="AJ15" s="14">
        <v>0</v>
      </c>
      <c r="AK15" s="14">
        <v>0</v>
      </c>
      <c r="AL15" s="81">
        <v>0</v>
      </c>
      <c r="AM15" s="81">
        <v>0</v>
      </c>
      <c r="AN15" s="81">
        <v>0</v>
      </c>
      <c r="AO15" s="81">
        <v>0</v>
      </c>
      <c r="AP15" s="81">
        <v>0</v>
      </c>
      <c r="AQ15" s="81">
        <v>0</v>
      </c>
      <c r="AR15" s="81">
        <v>0</v>
      </c>
      <c r="AS15" s="81">
        <v>0</v>
      </c>
      <c r="AT15" s="81">
        <v>0</v>
      </c>
      <c r="AU15" s="81">
        <v>0</v>
      </c>
      <c r="AV15" s="17" t="s">
        <v>93</v>
      </c>
      <c r="AW15" s="17">
        <v>0</v>
      </c>
      <c r="AX15" s="17">
        <v>0</v>
      </c>
      <c r="AY15" s="17">
        <v>0</v>
      </c>
      <c r="AZ15" s="17">
        <v>0</v>
      </c>
      <c r="BA15" s="19">
        <v>0</v>
      </c>
      <c r="BB15" s="17">
        <v>0</v>
      </c>
      <c r="BC15" s="17">
        <v>0</v>
      </c>
      <c r="BD15" s="10">
        <v>0</v>
      </c>
      <c r="BE15" s="17">
        <v>0</v>
      </c>
      <c r="BF15" s="17">
        <v>0</v>
      </c>
      <c r="BG15" s="17">
        <v>0</v>
      </c>
      <c r="BH15" s="17">
        <v>0</v>
      </c>
      <c r="BI15" s="17">
        <v>0</v>
      </c>
      <c r="BJ15" s="17">
        <v>0</v>
      </c>
      <c r="BK15" s="17">
        <v>0</v>
      </c>
      <c r="BL15" s="17">
        <v>0</v>
      </c>
      <c r="BM15" s="17">
        <v>0</v>
      </c>
      <c r="BN15" s="17">
        <v>0</v>
      </c>
      <c r="BO15" s="17">
        <v>0</v>
      </c>
      <c r="BP15" s="17">
        <v>0</v>
      </c>
      <c r="BQ15" s="17">
        <v>0</v>
      </c>
      <c r="BR15" s="45">
        <v>1</v>
      </c>
      <c r="BS15" s="20">
        <v>0</v>
      </c>
      <c r="BT15" s="48">
        <v>0</v>
      </c>
      <c r="BU15" s="20">
        <v>0</v>
      </c>
      <c r="BV15" s="20">
        <v>0</v>
      </c>
      <c r="BW15" s="82" t="s">
        <v>125</v>
      </c>
      <c r="BX15" s="21"/>
      <c r="CB15" s="2">
        <f t="shared" si="0"/>
        <v>0</v>
      </c>
      <c r="CC15" s="2">
        <f t="shared" si="1"/>
        <v>0</v>
      </c>
      <c r="CD15" s="2">
        <f t="shared" si="2"/>
        <v>0</v>
      </c>
      <c r="CE15" s="2">
        <f t="shared" si="3"/>
        <v>16</v>
      </c>
      <c r="CF15" s="2" t="e" cm="1">
        <f t="array" ref="CF15">+_xlfn.IFS(Tabell2[[#This Row],[EPD/Miljødeklarasjon - som krav, tildelingskriterium, kontraktsvilkår eller dokumentasjon]]=2,"Ja",Tabell2[[#This Row],[Bærekraftig trevirke/skogbruk - tømmerforordningen, FSC eller PEFC ]]=2,"Ja",Tabell2[[#This Row],[Krav til kvalitet / EN standarder/henvisning til Norsk møbelfakta]]=2,"Ja",Tabell2[[#This Row],[Robuste møbeltekstiler/ kvalitet på møbeltrekk]]=2,"Ja",Tabell2[[#This Row],[Design for lang levetid (Demontering, Reservedeler, produktinformasjon om montering og vedlikehold)]]=2,"Ja",Tabell2[[#This Row],[Merking av plast]]=2,"Ja",Tabell2[[#This Row],[Vask og rengjøring av møbler]]=2,"Ja",Tabell2[[#This Row],[Emballasjen skal være resirkulerbar/ gjenbrukbar (kravet om miljøvennelig emballasje)]]=2,"Ja",Tabell2[[#This Row],[Emballasje (retur- grønt punkt, gjenvinning) (kravet om gjenvinnbar emballasje)]]=2,"Ja",Tabell2[[#This Row],[Kjemikalietabellen (unngå skadelige kjemikaler)]]=2,"Ja",Tabell2[[#This Row],[Flammehemmere]]=2,"Ja",Tabell2[[#This Row],[PVC]]=2,"Ja",Tabell2[[#This Row],[Sosiale hensyn og menneske-rettigheter er inkludert]]=2,"Ja")</f>
        <v>#N/A</v>
      </c>
    </row>
    <row r="16" spans="1:84" s="2" customFormat="1" ht="14.45" customHeight="1" x14ac:dyDescent="0.25">
      <c r="A16" s="10">
        <v>2021</v>
      </c>
      <c r="B16" s="10" t="s">
        <v>134</v>
      </c>
      <c r="C16" s="60">
        <v>44308</v>
      </c>
      <c r="D16" s="41" t="s">
        <v>135</v>
      </c>
      <c r="E16" s="61">
        <v>974809672</v>
      </c>
      <c r="F16" s="39" t="s">
        <v>136</v>
      </c>
      <c r="G16" s="72" t="s">
        <v>137</v>
      </c>
      <c r="H16" s="39" t="s">
        <v>138</v>
      </c>
      <c r="I16" s="4">
        <v>39130000</v>
      </c>
      <c r="J16" s="10">
        <v>0</v>
      </c>
      <c r="K16" s="4" t="s">
        <v>75</v>
      </c>
      <c r="L16" s="21" t="s">
        <v>82</v>
      </c>
      <c r="M16" s="4">
        <v>0</v>
      </c>
      <c r="N16" s="76">
        <v>250000</v>
      </c>
      <c r="O16" s="4">
        <v>1</v>
      </c>
      <c r="P16" s="50" t="s">
        <v>139</v>
      </c>
      <c r="Q16" s="35" t="s">
        <v>140</v>
      </c>
      <c r="R16" s="13"/>
      <c r="S16" s="80">
        <v>0.1</v>
      </c>
      <c r="T16" s="80">
        <v>0.5</v>
      </c>
      <c r="U16" s="80">
        <v>0.4</v>
      </c>
      <c r="V16" s="45">
        <v>1</v>
      </c>
      <c r="W16" s="123">
        <v>1</v>
      </c>
      <c r="X16" s="2">
        <v>0</v>
      </c>
      <c r="Y16" s="123">
        <v>1</v>
      </c>
      <c r="Z16" s="43">
        <v>0</v>
      </c>
      <c r="AA16" s="17">
        <v>1</v>
      </c>
      <c r="AB16" s="17">
        <v>0</v>
      </c>
      <c r="AC16" s="17">
        <v>0</v>
      </c>
      <c r="AD16" s="17">
        <v>0</v>
      </c>
      <c r="AE16" s="10">
        <v>1</v>
      </c>
      <c r="AF16" s="10">
        <v>0</v>
      </c>
      <c r="AG16" s="14">
        <v>0</v>
      </c>
      <c r="AH16" s="10">
        <v>0</v>
      </c>
      <c r="AI16" s="10">
        <v>0</v>
      </c>
      <c r="AJ16" s="10">
        <v>0</v>
      </c>
      <c r="AK16" s="10">
        <v>1</v>
      </c>
      <c r="AL16" s="15">
        <v>1</v>
      </c>
      <c r="AM16" s="15">
        <v>0</v>
      </c>
      <c r="AN16" s="15">
        <v>0</v>
      </c>
      <c r="AO16" s="98">
        <v>1</v>
      </c>
      <c r="AP16" s="15">
        <v>0</v>
      </c>
      <c r="AQ16" s="15">
        <v>0</v>
      </c>
      <c r="AR16" s="15">
        <v>0</v>
      </c>
      <c r="AS16" s="15">
        <v>0</v>
      </c>
      <c r="AT16" s="15">
        <v>0</v>
      </c>
      <c r="AU16" s="15">
        <v>0</v>
      </c>
      <c r="AV16" s="10">
        <v>5</v>
      </c>
      <c r="AW16" s="10">
        <v>1</v>
      </c>
      <c r="AX16" s="10">
        <v>0</v>
      </c>
      <c r="AY16" s="10">
        <v>0</v>
      </c>
      <c r="AZ16" s="10">
        <v>0</v>
      </c>
      <c r="BA16" s="2">
        <v>0</v>
      </c>
      <c r="BB16" s="10">
        <v>1</v>
      </c>
      <c r="BC16" s="10">
        <v>0</v>
      </c>
      <c r="BD16" s="10">
        <v>0</v>
      </c>
      <c r="BE16" s="10">
        <v>0</v>
      </c>
      <c r="BF16" s="10">
        <v>0</v>
      </c>
      <c r="BG16" s="10">
        <v>0</v>
      </c>
      <c r="BH16" s="10">
        <v>0</v>
      </c>
      <c r="BI16" s="10">
        <v>0</v>
      </c>
      <c r="BJ16" s="10">
        <v>0</v>
      </c>
      <c r="BK16" s="10">
        <v>0</v>
      </c>
      <c r="BL16" s="10">
        <v>0</v>
      </c>
      <c r="BM16" s="10">
        <v>0</v>
      </c>
      <c r="BN16" s="10">
        <v>0</v>
      </c>
      <c r="BO16" s="10">
        <v>0</v>
      </c>
      <c r="BP16" s="10">
        <v>0</v>
      </c>
      <c r="BQ16" s="10">
        <v>0</v>
      </c>
      <c r="BR16" s="45">
        <v>2</v>
      </c>
      <c r="BS16" s="20">
        <v>0</v>
      </c>
      <c r="BT16" s="48">
        <v>0</v>
      </c>
      <c r="BU16" s="20">
        <v>0</v>
      </c>
      <c r="BV16" s="20">
        <v>0</v>
      </c>
      <c r="BW16" s="82" t="s">
        <v>141</v>
      </c>
      <c r="BX16" s="21"/>
      <c r="CB16" s="2">
        <f t="shared" si="0"/>
        <v>1</v>
      </c>
      <c r="CC16" s="2">
        <f t="shared" si="1"/>
        <v>1</v>
      </c>
      <c r="CD16" s="2">
        <f t="shared" si="2"/>
        <v>0</v>
      </c>
      <c r="CE16" s="2">
        <f t="shared" si="3"/>
        <v>17</v>
      </c>
      <c r="CF16" s="2" t="str" cm="1">
        <f t="array" ref="CF16">+_xlfn.IFS(Tabell2[[#This Row],[EPD/Miljødeklarasjon - som krav, tildelingskriterium, kontraktsvilkår eller dokumentasjon]]=2,"Ja",Tabell2[[#This Row],[Bærekraftig trevirke/skogbruk - tømmerforordningen, FSC eller PEFC ]]=2,"Ja",Tabell2[[#This Row],[Krav til kvalitet / EN standarder/henvisning til Norsk møbelfakta]]=2,"Ja",Tabell2[[#This Row],[Robuste møbeltekstiler/ kvalitet på møbeltrekk]]=2,"Ja",Tabell2[[#This Row],[Design for lang levetid (Demontering, Reservedeler, produktinformasjon om montering og vedlikehold)]]=2,"Ja",Tabell2[[#This Row],[Merking av plast]]=2,"Ja",Tabell2[[#This Row],[Vask og rengjøring av møbler]]=2,"Ja",Tabell2[[#This Row],[Emballasjen skal være resirkulerbar/ gjenbrukbar (kravet om miljøvennelig emballasje)]]=2,"Ja",Tabell2[[#This Row],[Emballasje (retur- grønt punkt, gjenvinning) (kravet om gjenvinnbar emballasje)]]=2,"Ja",Tabell2[[#This Row],[Kjemikalietabellen (unngå skadelige kjemikaler)]]=2,"Ja",Tabell2[[#This Row],[Flammehemmere]]=2,"Ja",Tabell2[[#This Row],[PVC]]=2,"Ja",Tabell2[[#This Row],[Sosiale hensyn og menneske-rettigheter er inkludert]]=2,"Ja")</f>
        <v>Ja</v>
      </c>
    </row>
    <row r="17" spans="1:84" s="2" customFormat="1" ht="14.45" customHeight="1" x14ac:dyDescent="0.25">
      <c r="A17" s="10">
        <v>2021</v>
      </c>
      <c r="B17" s="10" t="s">
        <v>161</v>
      </c>
      <c r="C17" s="60">
        <v>44362</v>
      </c>
      <c r="D17" s="37" t="s">
        <v>162</v>
      </c>
      <c r="E17" s="61">
        <v>820956532</v>
      </c>
      <c r="F17" s="36" t="s">
        <v>163</v>
      </c>
      <c r="G17" s="69" t="s">
        <v>98</v>
      </c>
      <c r="H17" s="36" t="s">
        <v>99</v>
      </c>
      <c r="I17" s="4">
        <v>39100000</v>
      </c>
      <c r="J17" s="10">
        <v>0</v>
      </c>
      <c r="K17" s="4" t="s">
        <v>75</v>
      </c>
      <c r="L17" s="21" t="s">
        <v>82</v>
      </c>
      <c r="M17" s="4">
        <v>0</v>
      </c>
      <c r="N17" s="76">
        <v>1300000</v>
      </c>
      <c r="O17" s="4">
        <v>1</v>
      </c>
      <c r="P17" s="49" t="s">
        <v>164</v>
      </c>
      <c r="Q17" s="35" t="s">
        <v>165</v>
      </c>
      <c r="R17" s="13"/>
      <c r="S17" s="80">
        <v>0</v>
      </c>
      <c r="T17" s="80">
        <v>0.5</v>
      </c>
      <c r="U17" s="80">
        <v>0.5</v>
      </c>
      <c r="V17" s="45">
        <v>0</v>
      </c>
      <c r="W17" s="123">
        <v>0</v>
      </c>
      <c r="X17" s="2">
        <v>0</v>
      </c>
      <c r="Y17" s="123">
        <v>0</v>
      </c>
      <c r="Z17" s="43">
        <v>0</v>
      </c>
      <c r="AA17" s="17">
        <v>1</v>
      </c>
      <c r="AB17" s="17">
        <v>0</v>
      </c>
      <c r="AC17" s="17">
        <v>0</v>
      </c>
      <c r="AD17" s="17">
        <v>0</v>
      </c>
      <c r="AE17" s="10">
        <v>0</v>
      </c>
      <c r="AF17" s="10">
        <v>0</v>
      </c>
      <c r="AG17" s="14">
        <v>0</v>
      </c>
      <c r="AH17" s="10">
        <v>0</v>
      </c>
      <c r="AI17" s="10">
        <v>0</v>
      </c>
      <c r="AJ17" s="10">
        <v>0</v>
      </c>
      <c r="AK17" s="10">
        <v>2</v>
      </c>
      <c r="AL17" s="15">
        <v>1</v>
      </c>
      <c r="AM17" s="15">
        <v>0</v>
      </c>
      <c r="AN17" s="15">
        <v>0</v>
      </c>
      <c r="AO17" s="98">
        <v>1</v>
      </c>
      <c r="AP17" s="15">
        <v>0</v>
      </c>
      <c r="AQ17" s="15">
        <v>0</v>
      </c>
      <c r="AR17" s="15">
        <v>0</v>
      </c>
      <c r="AS17" s="15">
        <v>0</v>
      </c>
      <c r="AT17" s="15">
        <v>0</v>
      </c>
      <c r="AU17" s="15">
        <v>0</v>
      </c>
      <c r="AV17" s="10">
        <v>5</v>
      </c>
      <c r="AW17" s="10">
        <v>1</v>
      </c>
      <c r="AX17" s="10">
        <v>0</v>
      </c>
      <c r="AY17" s="10">
        <v>0</v>
      </c>
      <c r="AZ17" s="10">
        <v>0</v>
      </c>
      <c r="BA17" s="2">
        <v>0</v>
      </c>
      <c r="BB17" s="10">
        <v>1</v>
      </c>
      <c r="BC17" s="10">
        <v>0</v>
      </c>
      <c r="BD17" s="10">
        <v>0</v>
      </c>
      <c r="BE17" s="10">
        <v>0</v>
      </c>
      <c r="BF17" s="10">
        <v>0</v>
      </c>
      <c r="BG17" s="10">
        <v>0</v>
      </c>
      <c r="BH17" s="10">
        <v>0</v>
      </c>
      <c r="BI17" s="10">
        <v>0</v>
      </c>
      <c r="BJ17" s="10">
        <v>0</v>
      </c>
      <c r="BK17" s="10">
        <v>0</v>
      </c>
      <c r="BL17" s="10">
        <v>0</v>
      </c>
      <c r="BM17" s="10">
        <v>0</v>
      </c>
      <c r="BN17" s="10">
        <v>0</v>
      </c>
      <c r="BO17" s="10">
        <v>0</v>
      </c>
      <c r="BP17" s="10">
        <v>0</v>
      </c>
      <c r="BQ17" s="10">
        <v>0</v>
      </c>
      <c r="BR17" s="45">
        <v>0</v>
      </c>
      <c r="BS17" s="20">
        <v>0</v>
      </c>
      <c r="BT17" s="48">
        <v>0</v>
      </c>
      <c r="BU17" s="20">
        <v>0</v>
      </c>
      <c r="BV17" s="20">
        <v>0</v>
      </c>
      <c r="BW17" s="82" t="s">
        <v>166</v>
      </c>
      <c r="BX17" s="21"/>
      <c r="CB17" s="2">
        <f t="shared" si="0"/>
        <v>1</v>
      </c>
      <c r="CC17" s="2">
        <f t="shared" si="1"/>
        <v>1</v>
      </c>
      <c r="CD17" s="2">
        <f t="shared" si="2"/>
        <v>0</v>
      </c>
      <c r="CE17" s="2">
        <f t="shared" si="3"/>
        <v>18</v>
      </c>
      <c r="CF17" s="2" t="str" cm="1">
        <f t="array" ref="CF17">+_xlfn.IFS(Tabell2[[#This Row],[EPD/Miljødeklarasjon - som krav, tildelingskriterium, kontraktsvilkår eller dokumentasjon]]=2,"Ja",Tabell2[[#This Row],[Bærekraftig trevirke/skogbruk - tømmerforordningen, FSC eller PEFC ]]=2,"Ja",Tabell2[[#This Row],[Krav til kvalitet / EN standarder/henvisning til Norsk møbelfakta]]=2,"Ja",Tabell2[[#This Row],[Robuste møbeltekstiler/ kvalitet på møbeltrekk]]=2,"Ja",Tabell2[[#This Row],[Design for lang levetid (Demontering, Reservedeler, produktinformasjon om montering og vedlikehold)]]=2,"Ja",Tabell2[[#This Row],[Merking av plast]]=2,"Ja",Tabell2[[#This Row],[Vask og rengjøring av møbler]]=2,"Ja",Tabell2[[#This Row],[Emballasjen skal være resirkulerbar/ gjenbrukbar (kravet om miljøvennelig emballasje)]]=2,"Ja",Tabell2[[#This Row],[Emballasje (retur- grønt punkt, gjenvinning) (kravet om gjenvinnbar emballasje)]]=2,"Ja",Tabell2[[#This Row],[Kjemikalietabellen (unngå skadelige kjemikaler)]]=2,"Ja",Tabell2[[#This Row],[Flammehemmere]]=2,"Ja",Tabell2[[#This Row],[PVC]]=2,"Ja",Tabell2[[#This Row],[Sosiale hensyn og menneske-rettigheter er inkludert]]=2,"Ja")</f>
        <v>Ja</v>
      </c>
    </row>
    <row r="18" spans="1:84" s="2" customFormat="1" ht="14.45" customHeight="1" x14ac:dyDescent="0.25">
      <c r="A18" s="10">
        <v>2021</v>
      </c>
      <c r="B18" s="10" t="s">
        <v>167</v>
      </c>
      <c r="C18" s="60">
        <v>44226</v>
      </c>
      <c r="D18" s="37" t="s">
        <v>168</v>
      </c>
      <c r="E18" s="61">
        <v>911830868</v>
      </c>
      <c r="F18" s="36" t="s">
        <v>169</v>
      </c>
      <c r="G18" s="69" t="s">
        <v>122</v>
      </c>
      <c r="H18" s="36" t="s">
        <v>80</v>
      </c>
      <c r="I18" s="4">
        <v>39130000</v>
      </c>
      <c r="J18" s="10">
        <v>0</v>
      </c>
      <c r="K18" s="4" t="s">
        <v>75</v>
      </c>
      <c r="L18" s="21" t="s">
        <v>82</v>
      </c>
      <c r="M18" s="4">
        <v>0</v>
      </c>
      <c r="N18" s="76">
        <v>16000000</v>
      </c>
      <c r="O18" s="4">
        <v>1</v>
      </c>
      <c r="P18" s="49" t="s">
        <v>170</v>
      </c>
      <c r="Q18" s="35" t="s">
        <v>171</v>
      </c>
      <c r="R18" s="13"/>
      <c r="S18" s="80">
        <v>0</v>
      </c>
      <c r="T18" s="80">
        <v>0.4</v>
      </c>
      <c r="U18" s="80">
        <v>0.6</v>
      </c>
      <c r="V18" s="45">
        <v>0</v>
      </c>
      <c r="W18" s="123">
        <v>0</v>
      </c>
      <c r="X18" s="2">
        <v>0</v>
      </c>
      <c r="Y18" s="123">
        <v>0</v>
      </c>
      <c r="Z18" s="43">
        <v>0</v>
      </c>
      <c r="AA18" s="17">
        <v>1</v>
      </c>
      <c r="AB18" s="17">
        <v>0</v>
      </c>
      <c r="AC18" s="17">
        <v>0</v>
      </c>
      <c r="AD18" s="17">
        <v>0</v>
      </c>
      <c r="AE18" s="10">
        <v>0</v>
      </c>
      <c r="AF18" s="10">
        <v>0</v>
      </c>
      <c r="AG18" s="14">
        <v>0</v>
      </c>
      <c r="AH18" s="10">
        <v>0</v>
      </c>
      <c r="AI18" s="10">
        <v>0</v>
      </c>
      <c r="AJ18" s="10">
        <v>1</v>
      </c>
      <c r="AK18" s="10">
        <v>1</v>
      </c>
      <c r="AL18" s="15">
        <v>1</v>
      </c>
      <c r="AM18" s="15">
        <v>0</v>
      </c>
      <c r="AN18" s="15">
        <v>0</v>
      </c>
      <c r="AO18" s="98">
        <v>0</v>
      </c>
      <c r="AP18" s="15">
        <v>0</v>
      </c>
      <c r="AQ18" s="15">
        <v>0</v>
      </c>
      <c r="AR18" s="15">
        <v>0</v>
      </c>
      <c r="AS18" s="15">
        <v>0</v>
      </c>
      <c r="AT18" s="15">
        <v>0</v>
      </c>
      <c r="AU18" s="15">
        <v>0</v>
      </c>
      <c r="AV18" s="10">
        <v>5</v>
      </c>
      <c r="AW18" s="10">
        <v>0</v>
      </c>
      <c r="AX18" s="10">
        <v>0</v>
      </c>
      <c r="AY18" s="10">
        <v>0</v>
      </c>
      <c r="AZ18" s="10">
        <v>0</v>
      </c>
      <c r="BA18" s="2">
        <v>1</v>
      </c>
      <c r="BB18" s="10">
        <v>2</v>
      </c>
      <c r="BC18" s="10">
        <v>0</v>
      </c>
      <c r="BD18" s="10">
        <v>1</v>
      </c>
      <c r="BE18" s="10">
        <v>0</v>
      </c>
      <c r="BF18" s="10">
        <v>0</v>
      </c>
      <c r="BG18" s="10">
        <v>0</v>
      </c>
      <c r="BH18" s="10">
        <v>0</v>
      </c>
      <c r="BI18" s="10">
        <v>0</v>
      </c>
      <c r="BJ18" s="10">
        <v>1</v>
      </c>
      <c r="BK18" s="10">
        <v>0</v>
      </c>
      <c r="BL18" s="10">
        <v>0</v>
      </c>
      <c r="BM18" s="10">
        <v>0</v>
      </c>
      <c r="BN18" s="10">
        <v>1</v>
      </c>
      <c r="BO18" s="10">
        <v>0</v>
      </c>
      <c r="BP18" s="10">
        <v>0</v>
      </c>
      <c r="BQ18" s="10">
        <v>0</v>
      </c>
      <c r="BR18" s="45">
        <v>1</v>
      </c>
      <c r="BS18" s="20">
        <v>0</v>
      </c>
      <c r="BT18" s="48">
        <v>1</v>
      </c>
      <c r="BU18" s="20">
        <v>0</v>
      </c>
      <c r="BV18" s="20">
        <v>0</v>
      </c>
      <c r="BW18" s="82" t="s">
        <v>172</v>
      </c>
      <c r="BX18" s="21"/>
      <c r="CB18" s="2">
        <f t="shared" si="0"/>
        <v>1</v>
      </c>
      <c r="CC18" s="2">
        <f t="shared" si="1"/>
        <v>1</v>
      </c>
      <c r="CD18" s="2">
        <f t="shared" si="2"/>
        <v>0</v>
      </c>
      <c r="CE18" s="2">
        <f t="shared" si="3"/>
        <v>19</v>
      </c>
      <c r="CF18" s="2" t="str" cm="1">
        <f t="array" ref="CF18">+_xlfn.IFS(Tabell2[[#This Row],[EPD/Miljødeklarasjon - som krav, tildelingskriterium, kontraktsvilkår eller dokumentasjon]]=2,"Ja",Tabell2[[#This Row],[Bærekraftig trevirke/skogbruk - tømmerforordningen, FSC eller PEFC ]]=2,"Ja",Tabell2[[#This Row],[Krav til kvalitet / EN standarder/henvisning til Norsk møbelfakta]]=2,"Ja",Tabell2[[#This Row],[Robuste møbeltekstiler/ kvalitet på møbeltrekk]]=2,"Ja",Tabell2[[#This Row],[Design for lang levetid (Demontering, Reservedeler, produktinformasjon om montering og vedlikehold)]]=2,"Ja",Tabell2[[#This Row],[Merking av plast]]=2,"Ja",Tabell2[[#This Row],[Vask og rengjøring av møbler]]=2,"Ja",Tabell2[[#This Row],[Emballasjen skal være resirkulerbar/ gjenbrukbar (kravet om miljøvennelig emballasje)]]=2,"Ja",Tabell2[[#This Row],[Emballasje (retur- grønt punkt, gjenvinning) (kravet om gjenvinnbar emballasje)]]=2,"Ja",Tabell2[[#This Row],[Kjemikalietabellen (unngå skadelige kjemikaler)]]=2,"Ja",Tabell2[[#This Row],[Flammehemmere]]=2,"Ja",Tabell2[[#This Row],[PVC]]=2,"Ja",Tabell2[[#This Row],[Sosiale hensyn og menneske-rettigheter er inkludert]]=2,"Ja")</f>
        <v>Ja</v>
      </c>
    </row>
    <row r="19" spans="1:84" s="2" customFormat="1" ht="14.45" customHeight="1" x14ac:dyDescent="0.25">
      <c r="A19" s="10">
        <v>2021</v>
      </c>
      <c r="B19" s="10" t="s">
        <v>173</v>
      </c>
      <c r="C19" s="60">
        <v>44514</v>
      </c>
      <c r="D19" s="37" t="s">
        <v>174</v>
      </c>
      <c r="E19" s="61">
        <v>820852982</v>
      </c>
      <c r="F19" s="36" t="s">
        <v>175</v>
      </c>
      <c r="G19" s="69" t="s">
        <v>176</v>
      </c>
      <c r="H19" s="36" t="s">
        <v>99</v>
      </c>
      <c r="I19" s="4">
        <v>39100000</v>
      </c>
      <c r="J19" s="10">
        <v>0</v>
      </c>
      <c r="K19" s="4" t="s">
        <v>75</v>
      </c>
      <c r="L19" s="21" t="s">
        <v>82</v>
      </c>
      <c r="M19" s="4">
        <v>0</v>
      </c>
      <c r="N19" s="76">
        <v>40000000</v>
      </c>
      <c r="O19" s="4">
        <v>1</v>
      </c>
      <c r="P19" s="49" t="s">
        <v>177</v>
      </c>
      <c r="Q19" s="35" t="s">
        <v>178</v>
      </c>
      <c r="R19" s="13"/>
      <c r="S19" s="80">
        <v>0</v>
      </c>
      <c r="T19" s="80">
        <v>0.7</v>
      </c>
      <c r="U19" s="80">
        <v>0.30000000000000004</v>
      </c>
      <c r="V19" s="45">
        <v>0</v>
      </c>
      <c r="W19" s="123">
        <v>0</v>
      </c>
      <c r="X19" s="2">
        <v>0</v>
      </c>
      <c r="Y19" s="123">
        <v>0</v>
      </c>
      <c r="Z19" s="43">
        <v>0</v>
      </c>
      <c r="AA19" s="17">
        <v>1</v>
      </c>
      <c r="AB19" s="17">
        <v>0</v>
      </c>
      <c r="AC19" s="17">
        <v>0</v>
      </c>
      <c r="AD19" s="17">
        <v>0</v>
      </c>
      <c r="AE19" s="10">
        <v>0</v>
      </c>
      <c r="AF19" s="10">
        <v>0</v>
      </c>
      <c r="AG19" s="14">
        <v>0</v>
      </c>
      <c r="AH19" s="10">
        <v>0</v>
      </c>
      <c r="AI19" s="10">
        <v>0</v>
      </c>
      <c r="AJ19" s="10">
        <v>2</v>
      </c>
      <c r="AK19" s="10">
        <v>2</v>
      </c>
      <c r="AL19" s="15">
        <v>2</v>
      </c>
      <c r="AM19" s="15">
        <v>0</v>
      </c>
      <c r="AN19" s="15">
        <v>0</v>
      </c>
      <c r="AO19" s="98">
        <v>2</v>
      </c>
      <c r="AP19" s="15">
        <v>0</v>
      </c>
      <c r="AQ19" s="15">
        <v>0</v>
      </c>
      <c r="AR19" s="15">
        <v>0</v>
      </c>
      <c r="AS19" s="15">
        <v>0</v>
      </c>
      <c r="AT19" s="15">
        <v>0</v>
      </c>
      <c r="AU19" s="15">
        <v>0</v>
      </c>
      <c r="AV19" s="10">
        <v>5</v>
      </c>
      <c r="AW19" s="10">
        <v>2</v>
      </c>
      <c r="AX19" s="10">
        <v>0</v>
      </c>
      <c r="AY19" s="10">
        <v>0</v>
      </c>
      <c r="AZ19" s="10">
        <v>1</v>
      </c>
      <c r="BA19" s="2">
        <v>2</v>
      </c>
      <c r="BB19" s="10">
        <v>2</v>
      </c>
      <c r="BC19" s="10">
        <v>2</v>
      </c>
      <c r="BD19" s="10">
        <v>1</v>
      </c>
      <c r="BE19" s="10">
        <v>1</v>
      </c>
      <c r="BF19" s="10">
        <v>1</v>
      </c>
      <c r="BG19" s="10">
        <v>1</v>
      </c>
      <c r="BH19" s="10">
        <v>1</v>
      </c>
      <c r="BI19" s="10">
        <v>1</v>
      </c>
      <c r="BJ19" s="10">
        <v>2</v>
      </c>
      <c r="BK19" s="10">
        <v>2</v>
      </c>
      <c r="BL19" s="10">
        <v>0</v>
      </c>
      <c r="BM19" s="10">
        <v>1</v>
      </c>
      <c r="BN19" s="10">
        <v>1</v>
      </c>
      <c r="BO19" s="10">
        <v>1</v>
      </c>
      <c r="BP19" s="10">
        <v>1</v>
      </c>
      <c r="BQ19" s="10">
        <v>0</v>
      </c>
      <c r="BR19" s="45">
        <v>1</v>
      </c>
      <c r="BS19" s="20">
        <v>0</v>
      </c>
      <c r="BT19" s="48">
        <v>1</v>
      </c>
      <c r="BU19" s="20">
        <v>0</v>
      </c>
      <c r="BV19" s="20">
        <v>0</v>
      </c>
      <c r="BW19" s="82" t="s">
        <v>179</v>
      </c>
      <c r="BX19" s="21"/>
      <c r="CB19" s="2">
        <f t="shared" si="0"/>
        <v>1</v>
      </c>
      <c r="CC19" s="2">
        <f t="shared" si="1"/>
        <v>1</v>
      </c>
      <c r="CD19" s="2">
        <f t="shared" si="2"/>
        <v>0</v>
      </c>
      <c r="CE19" s="2">
        <f t="shared" si="3"/>
        <v>20</v>
      </c>
      <c r="CF19" s="2" t="str" cm="1">
        <f t="array" ref="CF19">+_xlfn.IFS(Tabell2[[#This Row],[EPD/Miljødeklarasjon - som krav, tildelingskriterium, kontraktsvilkår eller dokumentasjon]]=2,"Ja",Tabell2[[#This Row],[Bærekraftig trevirke/skogbruk - tømmerforordningen, FSC eller PEFC ]]=2,"Ja",Tabell2[[#This Row],[Krav til kvalitet / EN standarder/henvisning til Norsk møbelfakta]]=2,"Ja",Tabell2[[#This Row],[Robuste møbeltekstiler/ kvalitet på møbeltrekk]]=2,"Ja",Tabell2[[#This Row],[Design for lang levetid (Demontering, Reservedeler, produktinformasjon om montering og vedlikehold)]]=2,"Ja",Tabell2[[#This Row],[Merking av plast]]=2,"Ja",Tabell2[[#This Row],[Vask og rengjøring av møbler]]=2,"Ja",Tabell2[[#This Row],[Emballasjen skal være resirkulerbar/ gjenbrukbar (kravet om miljøvennelig emballasje)]]=2,"Ja",Tabell2[[#This Row],[Emballasje (retur- grønt punkt, gjenvinning) (kravet om gjenvinnbar emballasje)]]=2,"Ja",Tabell2[[#This Row],[Kjemikalietabellen (unngå skadelige kjemikaler)]]=2,"Ja",Tabell2[[#This Row],[Flammehemmere]]=2,"Ja",Tabell2[[#This Row],[PVC]]=2,"Ja",Tabell2[[#This Row],[Sosiale hensyn og menneske-rettigheter er inkludert]]=2,"Ja")</f>
        <v>Ja</v>
      </c>
    </row>
    <row r="20" spans="1:84" s="2" customFormat="1" ht="14.45" customHeight="1" x14ac:dyDescent="0.25">
      <c r="A20" s="10">
        <v>2021</v>
      </c>
      <c r="B20" s="10" t="s">
        <v>180</v>
      </c>
      <c r="C20" s="60">
        <v>44514</v>
      </c>
      <c r="D20" s="37" t="s">
        <v>174</v>
      </c>
      <c r="E20" s="61">
        <v>820852982</v>
      </c>
      <c r="F20" s="36" t="s">
        <v>181</v>
      </c>
      <c r="G20" s="69" t="s">
        <v>176</v>
      </c>
      <c r="H20" s="36" t="s">
        <v>99</v>
      </c>
      <c r="I20" s="4">
        <v>39100000</v>
      </c>
      <c r="J20" s="10">
        <v>0</v>
      </c>
      <c r="K20" s="4" t="s">
        <v>75</v>
      </c>
      <c r="L20" s="21" t="s">
        <v>82</v>
      </c>
      <c r="M20" s="4">
        <v>0</v>
      </c>
      <c r="N20" s="76">
        <v>9000000</v>
      </c>
      <c r="O20" s="4">
        <v>1</v>
      </c>
      <c r="P20" s="49" t="s">
        <v>182</v>
      </c>
      <c r="Q20" s="35" t="s">
        <v>178</v>
      </c>
      <c r="R20" s="13"/>
      <c r="S20" s="80">
        <v>0</v>
      </c>
      <c r="T20" s="80">
        <v>0.7</v>
      </c>
      <c r="U20" s="80">
        <v>0.30000000000000004</v>
      </c>
      <c r="V20" s="45">
        <v>0</v>
      </c>
      <c r="W20" s="123">
        <v>0</v>
      </c>
      <c r="X20" s="2">
        <v>0</v>
      </c>
      <c r="Y20" s="123">
        <v>0</v>
      </c>
      <c r="Z20" s="43">
        <v>0</v>
      </c>
      <c r="AA20" s="17">
        <v>1</v>
      </c>
      <c r="AB20" s="17">
        <v>0</v>
      </c>
      <c r="AC20" s="17">
        <v>0</v>
      </c>
      <c r="AD20" s="17">
        <v>0</v>
      </c>
      <c r="AE20" s="10">
        <v>0</v>
      </c>
      <c r="AF20" s="10">
        <v>0</v>
      </c>
      <c r="AG20" s="14">
        <v>0</v>
      </c>
      <c r="AH20" s="10">
        <v>0</v>
      </c>
      <c r="AI20" s="10">
        <v>0</v>
      </c>
      <c r="AJ20" s="10">
        <v>2</v>
      </c>
      <c r="AK20" s="10">
        <v>2</v>
      </c>
      <c r="AL20" s="15">
        <v>2</v>
      </c>
      <c r="AM20" s="15">
        <v>0</v>
      </c>
      <c r="AN20" s="15">
        <v>0</v>
      </c>
      <c r="AO20" s="98">
        <v>2</v>
      </c>
      <c r="AP20" s="15">
        <v>0</v>
      </c>
      <c r="AQ20" s="15">
        <v>0</v>
      </c>
      <c r="AR20" s="15">
        <v>0</v>
      </c>
      <c r="AS20" s="15">
        <v>0</v>
      </c>
      <c r="AT20" s="15">
        <v>0</v>
      </c>
      <c r="AU20" s="15">
        <v>0</v>
      </c>
      <c r="AV20" s="10">
        <v>5</v>
      </c>
      <c r="AW20" s="10">
        <v>2</v>
      </c>
      <c r="AX20" s="10">
        <v>0</v>
      </c>
      <c r="AY20" s="10">
        <v>0</v>
      </c>
      <c r="AZ20" s="10">
        <v>1</v>
      </c>
      <c r="BA20" s="2">
        <v>2</v>
      </c>
      <c r="BB20" s="10">
        <v>2</v>
      </c>
      <c r="BC20" s="10">
        <v>2</v>
      </c>
      <c r="BD20" s="10">
        <v>1</v>
      </c>
      <c r="BE20" s="10">
        <v>1</v>
      </c>
      <c r="BF20" s="10">
        <v>1</v>
      </c>
      <c r="BG20" s="10">
        <v>1</v>
      </c>
      <c r="BH20" s="10">
        <v>1</v>
      </c>
      <c r="BI20" s="10">
        <v>1</v>
      </c>
      <c r="BJ20" s="10">
        <v>2</v>
      </c>
      <c r="BK20" s="10">
        <v>2</v>
      </c>
      <c r="BL20" s="10">
        <v>0</v>
      </c>
      <c r="BM20" s="10">
        <v>1</v>
      </c>
      <c r="BN20" s="10">
        <v>1</v>
      </c>
      <c r="BO20" s="10">
        <v>1</v>
      </c>
      <c r="BP20" s="10">
        <v>1</v>
      </c>
      <c r="BQ20" s="10">
        <v>0</v>
      </c>
      <c r="BR20" s="45">
        <v>1</v>
      </c>
      <c r="BS20" s="20">
        <v>0</v>
      </c>
      <c r="BT20" s="48">
        <v>1</v>
      </c>
      <c r="BU20" s="20">
        <v>0</v>
      </c>
      <c r="BV20" s="20">
        <v>0</v>
      </c>
      <c r="BW20" s="82" t="s">
        <v>183</v>
      </c>
      <c r="BX20" s="21"/>
      <c r="CB20" s="2">
        <f t="shared" si="0"/>
        <v>1</v>
      </c>
      <c r="CC20" s="2">
        <f t="shared" si="1"/>
        <v>1</v>
      </c>
      <c r="CD20" s="2">
        <f t="shared" si="2"/>
        <v>0</v>
      </c>
      <c r="CE20" s="2">
        <f t="shared" si="3"/>
        <v>21</v>
      </c>
      <c r="CF20" s="2" t="str" cm="1">
        <f t="array" ref="CF20">+_xlfn.IFS(Tabell2[[#This Row],[EPD/Miljødeklarasjon - som krav, tildelingskriterium, kontraktsvilkår eller dokumentasjon]]=2,"Ja",Tabell2[[#This Row],[Bærekraftig trevirke/skogbruk - tømmerforordningen, FSC eller PEFC ]]=2,"Ja",Tabell2[[#This Row],[Krav til kvalitet / EN standarder/henvisning til Norsk møbelfakta]]=2,"Ja",Tabell2[[#This Row],[Robuste møbeltekstiler/ kvalitet på møbeltrekk]]=2,"Ja",Tabell2[[#This Row],[Design for lang levetid (Demontering, Reservedeler, produktinformasjon om montering og vedlikehold)]]=2,"Ja",Tabell2[[#This Row],[Merking av plast]]=2,"Ja",Tabell2[[#This Row],[Vask og rengjøring av møbler]]=2,"Ja",Tabell2[[#This Row],[Emballasjen skal være resirkulerbar/ gjenbrukbar (kravet om miljøvennelig emballasje)]]=2,"Ja",Tabell2[[#This Row],[Emballasje (retur- grønt punkt, gjenvinning) (kravet om gjenvinnbar emballasje)]]=2,"Ja",Tabell2[[#This Row],[Kjemikalietabellen (unngå skadelige kjemikaler)]]=2,"Ja",Tabell2[[#This Row],[Flammehemmere]]=2,"Ja",Tabell2[[#This Row],[PVC]]=2,"Ja",Tabell2[[#This Row],[Sosiale hensyn og menneske-rettigheter er inkludert]]=2,"Ja")</f>
        <v>Ja</v>
      </c>
    </row>
    <row r="21" spans="1:84" s="2" customFormat="1" ht="14.45" customHeight="1" x14ac:dyDescent="0.25">
      <c r="A21" s="10">
        <v>2021</v>
      </c>
      <c r="B21" s="10" t="s">
        <v>184</v>
      </c>
      <c r="C21" s="60">
        <v>44514</v>
      </c>
      <c r="D21" s="37" t="s">
        <v>174</v>
      </c>
      <c r="E21" s="61">
        <v>820852982</v>
      </c>
      <c r="F21" s="36" t="s">
        <v>185</v>
      </c>
      <c r="G21" s="69" t="s">
        <v>176</v>
      </c>
      <c r="H21" s="36" t="s">
        <v>99</v>
      </c>
      <c r="I21" s="4">
        <v>39161000</v>
      </c>
      <c r="J21" s="10">
        <v>0</v>
      </c>
      <c r="K21" s="4" t="s">
        <v>75</v>
      </c>
      <c r="L21" s="21" t="s">
        <v>82</v>
      </c>
      <c r="M21" s="4">
        <v>0</v>
      </c>
      <c r="N21" s="76">
        <v>6000000</v>
      </c>
      <c r="O21" s="4">
        <v>1</v>
      </c>
      <c r="P21" s="49" t="s">
        <v>186</v>
      </c>
      <c r="Q21" s="35" t="s">
        <v>178</v>
      </c>
      <c r="R21" s="13"/>
      <c r="S21" s="80">
        <v>0</v>
      </c>
      <c r="T21" s="80">
        <v>0.7</v>
      </c>
      <c r="U21" s="80">
        <v>0.30000000000000004</v>
      </c>
      <c r="V21" s="45">
        <v>0</v>
      </c>
      <c r="W21" s="123">
        <v>0</v>
      </c>
      <c r="X21" s="2">
        <v>0</v>
      </c>
      <c r="Y21" s="123">
        <v>0</v>
      </c>
      <c r="Z21" s="43">
        <v>0</v>
      </c>
      <c r="AA21" s="17">
        <v>1</v>
      </c>
      <c r="AB21" s="17">
        <v>0</v>
      </c>
      <c r="AC21" s="17">
        <v>0</v>
      </c>
      <c r="AD21" s="17">
        <v>0</v>
      </c>
      <c r="AE21" s="10">
        <v>0</v>
      </c>
      <c r="AF21" s="10">
        <v>0</v>
      </c>
      <c r="AG21" s="14">
        <v>0</v>
      </c>
      <c r="AH21" s="10">
        <v>0</v>
      </c>
      <c r="AI21" s="10">
        <v>0</v>
      </c>
      <c r="AJ21" s="10">
        <v>2</v>
      </c>
      <c r="AK21" s="10">
        <v>2</v>
      </c>
      <c r="AL21" s="15">
        <v>2</v>
      </c>
      <c r="AM21" s="15">
        <v>0</v>
      </c>
      <c r="AN21" s="15">
        <v>0</v>
      </c>
      <c r="AO21" s="98">
        <v>2</v>
      </c>
      <c r="AP21" s="15">
        <v>0</v>
      </c>
      <c r="AQ21" s="15">
        <v>0</v>
      </c>
      <c r="AR21" s="15">
        <v>0</v>
      </c>
      <c r="AS21" s="15">
        <v>0</v>
      </c>
      <c r="AT21" s="15">
        <v>0</v>
      </c>
      <c r="AU21" s="15">
        <v>0</v>
      </c>
      <c r="AV21" s="10">
        <v>5</v>
      </c>
      <c r="AW21" s="10">
        <v>2</v>
      </c>
      <c r="AX21" s="10">
        <v>0</v>
      </c>
      <c r="AY21" s="10">
        <v>0</v>
      </c>
      <c r="AZ21" s="10">
        <v>1</v>
      </c>
      <c r="BA21" s="2">
        <v>2</v>
      </c>
      <c r="BB21" s="10">
        <v>2</v>
      </c>
      <c r="BC21" s="10">
        <v>2</v>
      </c>
      <c r="BD21" s="10">
        <v>1</v>
      </c>
      <c r="BE21" s="10">
        <v>1</v>
      </c>
      <c r="BF21" s="10">
        <v>1</v>
      </c>
      <c r="BG21" s="10">
        <v>1</v>
      </c>
      <c r="BH21" s="10">
        <v>1</v>
      </c>
      <c r="BI21" s="10">
        <v>1</v>
      </c>
      <c r="BJ21" s="10">
        <v>2</v>
      </c>
      <c r="BK21" s="10">
        <v>2</v>
      </c>
      <c r="BL21" s="10">
        <v>0</v>
      </c>
      <c r="BM21" s="10">
        <v>1</v>
      </c>
      <c r="BN21" s="10">
        <v>1</v>
      </c>
      <c r="BO21" s="10">
        <v>1</v>
      </c>
      <c r="BP21" s="10">
        <v>1</v>
      </c>
      <c r="BQ21" s="10">
        <v>0</v>
      </c>
      <c r="BR21" s="45">
        <v>1</v>
      </c>
      <c r="BS21" s="20">
        <v>0</v>
      </c>
      <c r="BT21" s="48">
        <v>1</v>
      </c>
      <c r="BU21" s="20">
        <v>0</v>
      </c>
      <c r="BV21" s="20">
        <v>0</v>
      </c>
      <c r="BW21" s="82" t="s">
        <v>187</v>
      </c>
      <c r="BX21" s="21"/>
      <c r="CB21" s="2">
        <f t="shared" si="0"/>
        <v>1</v>
      </c>
      <c r="CC21" s="2">
        <f t="shared" si="1"/>
        <v>1</v>
      </c>
      <c r="CD21" s="2">
        <f t="shared" si="2"/>
        <v>0</v>
      </c>
      <c r="CE21" s="2">
        <f t="shared" si="3"/>
        <v>22</v>
      </c>
      <c r="CF21" s="2" t="str" cm="1">
        <f t="array" ref="CF21">+_xlfn.IFS(Tabell2[[#This Row],[EPD/Miljødeklarasjon - som krav, tildelingskriterium, kontraktsvilkår eller dokumentasjon]]=2,"Ja",Tabell2[[#This Row],[Bærekraftig trevirke/skogbruk - tømmerforordningen, FSC eller PEFC ]]=2,"Ja",Tabell2[[#This Row],[Krav til kvalitet / EN standarder/henvisning til Norsk møbelfakta]]=2,"Ja",Tabell2[[#This Row],[Robuste møbeltekstiler/ kvalitet på møbeltrekk]]=2,"Ja",Tabell2[[#This Row],[Design for lang levetid (Demontering, Reservedeler, produktinformasjon om montering og vedlikehold)]]=2,"Ja",Tabell2[[#This Row],[Merking av plast]]=2,"Ja",Tabell2[[#This Row],[Vask og rengjøring av møbler]]=2,"Ja",Tabell2[[#This Row],[Emballasjen skal være resirkulerbar/ gjenbrukbar (kravet om miljøvennelig emballasje)]]=2,"Ja",Tabell2[[#This Row],[Emballasje (retur- grønt punkt, gjenvinning) (kravet om gjenvinnbar emballasje)]]=2,"Ja",Tabell2[[#This Row],[Kjemikalietabellen (unngå skadelige kjemikaler)]]=2,"Ja",Tabell2[[#This Row],[Flammehemmere]]=2,"Ja",Tabell2[[#This Row],[PVC]]=2,"Ja",Tabell2[[#This Row],[Sosiale hensyn og menneske-rettigheter er inkludert]]=2,"Ja")</f>
        <v>Ja</v>
      </c>
    </row>
    <row r="22" spans="1:84" s="2" customFormat="1" ht="14.45" customHeight="1" x14ac:dyDescent="0.25">
      <c r="A22" s="10">
        <v>2021</v>
      </c>
      <c r="B22" s="10" t="s">
        <v>201</v>
      </c>
      <c r="C22" s="60">
        <v>44521</v>
      </c>
      <c r="D22" s="37" t="s">
        <v>202</v>
      </c>
      <c r="E22" s="61">
        <v>976029100</v>
      </c>
      <c r="F22" s="36" t="s">
        <v>203</v>
      </c>
      <c r="G22" s="72" t="s">
        <v>117</v>
      </c>
      <c r="H22" s="39" t="s">
        <v>80</v>
      </c>
      <c r="I22" s="4">
        <v>39132300</v>
      </c>
      <c r="J22" s="10">
        <v>0</v>
      </c>
      <c r="K22" s="4" t="s">
        <v>75</v>
      </c>
      <c r="L22" s="21" t="s">
        <v>82</v>
      </c>
      <c r="M22" s="4">
        <v>0</v>
      </c>
      <c r="N22" s="76">
        <v>10000000</v>
      </c>
      <c r="O22" s="4">
        <v>1</v>
      </c>
      <c r="P22" s="49" t="s">
        <v>204</v>
      </c>
      <c r="Q22" s="35" t="s">
        <v>205</v>
      </c>
      <c r="R22" s="13"/>
      <c r="S22" s="80">
        <v>0</v>
      </c>
      <c r="T22" s="80">
        <v>1</v>
      </c>
      <c r="U22" s="80">
        <v>0</v>
      </c>
      <c r="V22" s="45">
        <v>0</v>
      </c>
      <c r="W22" s="123">
        <v>0</v>
      </c>
      <c r="X22" s="2">
        <v>0</v>
      </c>
      <c r="Y22" s="123">
        <v>0</v>
      </c>
      <c r="Z22" s="43">
        <v>0</v>
      </c>
      <c r="AA22" s="17">
        <v>0</v>
      </c>
      <c r="AB22" s="17">
        <v>0</v>
      </c>
      <c r="AC22" s="17">
        <v>0</v>
      </c>
      <c r="AD22" s="17">
        <v>0</v>
      </c>
      <c r="AE22" s="10">
        <v>0</v>
      </c>
      <c r="AF22" s="10">
        <v>0</v>
      </c>
      <c r="AG22" s="14">
        <v>0</v>
      </c>
      <c r="AH22" s="10">
        <v>0</v>
      </c>
      <c r="AI22" s="10">
        <v>0</v>
      </c>
      <c r="AJ22" s="10">
        <v>0</v>
      </c>
      <c r="AK22" s="10">
        <v>0</v>
      </c>
      <c r="AL22" s="15">
        <v>0</v>
      </c>
      <c r="AM22" s="15">
        <v>0</v>
      </c>
      <c r="AN22" s="15">
        <v>0</v>
      </c>
      <c r="AO22" s="98">
        <v>0</v>
      </c>
      <c r="AP22" s="15">
        <v>0</v>
      </c>
      <c r="AQ22" s="15">
        <v>0</v>
      </c>
      <c r="AR22" s="15">
        <v>0</v>
      </c>
      <c r="AS22" s="15">
        <v>0</v>
      </c>
      <c r="AT22" s="15">
        <v>0</v>
      </c>
      <c r="AU22" s="15">
        <v>0</v>
      </c>
      <c r="AV22" s="10" t="s">
        <v>93</v>
      </c>
      <c r="AW22" s="10">
        <v>0</v>
      </c>
      <c r="AX22" s="10">
        <v>0</v>
      </c>
      <c r="AY22" s="10">
        <v>0</v>
      </c>
      <c r="AZ22" s="10">
        <v>0</v>
      </c>
      <c r="BA22" s="2">
        <v>0</v>
      </c>
      <c r="BB22" s="10">
        <v>0</v>
      </c>
      <c r="BC22" s="10">
        <v>0</v>
      </c>
      <c r="BD22" s="10">
        <v>0</v>
      </c>
      <c r="BE22" s="10">
        <v>0</v>
      </c>
      <c r="BF22" s="10">
        <v>0</v>
      </c>
      <c r="BG22" s="10">
        <v>0</v>
      </c>
      <c r="BH22" s="10">
        <v>0</v>
      </c>
      <c r="BI22" s="10">
        <v>0</v>
      </c>
      <c r="BJ22" s="10">
        <v>0</v>
      </c>
      <c r="BK22" s="10">
        <v>0</v>
      </c>
      <c r="BL22" s="10">
        <v>0</v>
      </c>
      <c r="BM22" s="10">
        <v>0</v>
      </c>
      <c r="BN22" s="10">
        <v>0</v>
      </c>
      <c r="BO22" s="10">
        <v>0</v>
      </c>
      <c r="BP22" s="10">
        <v>0</v>
      </c>
      <c r="BQ22" s="10">
        <v>0</v>
      </c>
      <c r="BR22" s="45">
        <v>0</v>
      </c>
      <c r="BS22" s="20">
        <v>0</v>
      </c>
      <c r="BT22" s="48">
        <v>0</v>
      </c>
      <c r="BU22" s="20">
        <v>0</v>
      </c>
      <c r="BV22" s="20">
        <v>0</v>
      </c>
      <c r="BW22" s="82" t="s">
        <v>93</v>
      </c>
      <c r="BX22" s="21"/>
      <c r="CB22" s="2">
        <f t="shared" si="0"/>
        <v>0</v>
      </c>
      <c r="CC22" s="2">
        <f t="shared" si="1"/>
        <v>0</v>
      </c>
      <c r="CD22" s="2">
        <f t="shared" si="2"/>
        <v>0</v>
      </c>
      <c r="CE22" s="2">
        <f t="shared" si="3"/>
        <v>23</v>
      </c>
      <c r="CF22" s="2" t="e" cm="1">
        <f t="array" ref="CF22">+_xlfn.IFS(Tabell2[[#This Row],[EPD/Miljødeklarasjon - som krav, tildelingskriterium, kontraktsvilkår eller dokumentasjon]]=2,"Ja",Tabell2[[#This Row],[Bærekraftig trevirke/skogbruk - tømmerforordningen, FSC eller PEFC ]]=2,"Ja",Tabell2[[#This Row],[Krav til kvalitet / EN standarder/henvisning til Norsk møbelfakta]]=2,"Ja",Tabell2[[#This Row],[Robuste møbeltekstiler/ kvalitet på møbeltrekk]]=2,"Ja",Tabell2[[#This Row],[Design for lang levetid (Demontering, Reservedeler, produktinformasjon om montering og vedlikehold)]]=2,"Ja",Tabell2[[#This Row],[Merking av plast]]=2,"Ja",Tabell2[[#This Row],[Vask og rengjøring av møbler]]=2,"Ja",Tabell2[[#This Row],[Emballasjen skal være resirkulerbar/ gjenbrukbar (kravet om miljøvennelig emballasje)]]=2,"Ja",Tabell2[[#This Row],[Emballasje (retur- grønt punkt, gjenvinning) (kravet om gjenvinnbar emballasje)]]=2,"Ja",Tabell2[[#This Row],[Kjemikalietabellen (unngå skadelige kjemikaler)]]=2,"Ja",Tabell2[[#This Row],[Flammehemmere]]=2,"Ja",Tabell2[[#This Row],[PVC]]=2,"Ja",Tabell2[[#This Row],[Sosiale hensyn og menneske-rettigheter er inkludert]]=2,"Ja")</f>
        <v>#N/A</v>
      </c>
    </row>
    <row r="23" spans="1:84" s="2" customFormat="1" ht="14.45" customHeight="1" x14ac:dyDescent="0.25">
      <c r="A23" s="10">
        <v>2021</v>
      </c>
      <c r="B23" s="10" t="s">
        <v>219</v>
      </c>
      <c r="C23" s="60">
        <v>44232</v>
      </c>
      <c r="D23" s="37" t="s">
        <v>220</v>
      </c>
      <c r="E23" s="61">
        <v>941812716</v>
      </c>
      <c r="F23" s="36" t="s">
        <v>221</v>
      </c>
      <c r="G23" s="69" t="s">
        <v>222</v>
      </c>
      <c r="H23" s="36" t="s">
        <v>99</v>
      </c>
      <c r="I23" s="4">
        <v>39130000</v>
      </c>
      <c r="J23" s="10" t="s">
        <v>81</v>
      </c>
      <c r="K23" s="4" t="s">
        <v>75</v>
      </c>
      <c r="L23" s="21" t="s">
        <v>82</v>
      </c>
      <c r="M23" s="4">
        <v>0</v>
      </c>
      <c r="N23" s="76" t="s">
        <v>81</v>
      </c>
      <c r="O23" s="4">
        <v>1</v>
      </c>
      <c r="P23" s="49" t="s">
        <v>223</v>
      </c>
      <c r="Q23" s="35" t="s">
        <v>224</v>
      </c>
      <c r="R23" s="13"/>
      <c r="S23" s="80">
        <v>0</v>
      </c>
      <c r="T23" s="80">
        <v>1</v>
      </c>
      <c r="U23" s="80">
        <v>0</v>
      </c>
      <c r="V23" s="45">
        <v>0</v>
      </c>
      <c r="W23" s="123">
        <v>0</v>
      </c>
      <c r="X23" s="2">
        <v>0</v>
      </c>
      <c r="Y23" s="123">
        <v>0</v>
      </c>
      <c r="Z23" s="43">
        <v>0</v>
      </c>
      <c r="AA23" s="17">
        <v>1</v>
      </c>
      <c r="AB23" s="17">
        <v>0</v>
      </c>
      <c r="AC23" s="17">
        <v>0</v>
      </c>
      <c r="AD23" s="17">
        <v>0</v>
      </c>
      <c r="AE23" s="10">
        <v>0</v>
      </c>
      <c r="AF23" s="10">
        <v>0</v>
      </c>
      <c r="AG23" s="14">
        <v>0</v>
      </c>
      <c r="AH23" s="10">
        <v>0</v>
      </c>
      <c r="AI23" s="10">
        <v>0</v>
      </c>
      <c r="AJ23" s="10">
        <v>0</v>
      </c>
      <c r="AK23" s="10">
        <v>0</v>
      </c>
      <c r="AL23" s="15">
        <v>1</v>
      </c>
      <c r="AM23" s="15">
        <v>0</v>
      </c>
      <c r="AN23" s="15">
        <v>0</v>
      </c>
      <c r="AO23" s="98">
        <v>1</v>
      </c>
      <c r="AP23" s="15">
        <v>0</v>
      </c>
      <c r="AQ23" s="15">
        <v>0</v>
      </c>
      <c r="AR23" s="15">
        <v>0</v>
      </c>
      <c r="AS23" s="15">
        <v>0</v>
      </c>
      <c r="AT23" s="15">
        <v>0</v>
      </c>
      <c r="AU23" s="15">
        <v>0</v>
      </c>
      <c r="AV23" s="10">
        <v>5</v>
      </c>
      <c r="AW23" s="10">
        <v>1</v>
      </c>
      <c r="AX23" s="10">
        <v>0</v>
      </c>
      <c r="AY23" s="10">
        <v>0</v>
      </c>
      <c r="AZ23" s="10">
        <v>0</v>
      </c>
      <c r="BA23" s="2">
        <v>0</v>
      </c>
      <c r="BB23" s="10">
        <v>1</v>
      </c>
      <c r="BC23" s="10">
        <v>0</v>
      </c>
      <c r="BD23" s="10">
        <v>0</v>
      </c>
      <c r="BE23" s="10">
        <v>0</v>
      </c>
      <c r="BF23" s="10">
        <v>0</v>
      </c>
      <c r="BG23" s="10">
        <v>0</v>
      </c>
      <c r="BH23" s="10">
        <v>0</v>
      </c>
      <c r="BI23" s="10">
        <v>0</v>
      </c>
      <c r="BJ23" s="10">
        <v>0</v>
      </c>
      <c r="BK23" s="10">
        <v>0</v>
      </c>
      <c r="BL23" s="10">
        <v>0</v>
      </c>
      <c r="BM23" s="10">
        <v>0</v>
      </c>
      <c r="BN23" s="10">
        <v>0</v>
      </c>
      <c r="BO23" s="10">
        <v>0</v>
      </c>
      <c r="BP23" s="10">
        <v>0</v>
      </c>
      <c r="BQ23" s="10">
        <v>0</v>
      </c>
      <c r="BR23" s="45">
        <v>0</v>
      </c>
      <c r="BS23" s="20">
        <v>0</v>
      </c>
      <c r="BT23" s="48">
        <v>0</v>
      </c>
      <c r="BU23" s="20">
        <v>0</v>
      </c>
      <c r="BV23" s="20">
        <v>0</v>
      </c>
      <c r="BW23" s="82" t="s">
        <v>93</v>
      </c>
      <c r="BX23" s="21"/>
      <c r="CB23" s="2">
        <f t="shared" si="0"/>
        <v>1</v>
      </c>
      <c r="CC23" s="2">
        <f t="shared" si="1"/>
        <v>1</v>
      </c>
      <c r="CD23" s="2">
        <f t="shared" si="2"/>
        <v>0</v>
      </c>
      <c r="CE23" s="2">
        <f t="shared" si="3"/>
        <v>24</v>
      </c>
      <c r="CF23" s="2" t="e" cm="1">
        <f t="array" ref="CF23">+_xlfn.IFS(Tabell2[[#This Row],[EPD/Miljødeklarasjon - som krav, tildelingskriterium, kontraktsvilkår eller dokumentasjon]]=2,"Ja",Tabell2[[#This Row],[Bærekraftig trevirke/skogbruk - tømmerforordningen, FSC eller PEFC ]]=2,"Ja",Tabell2[[#This Row],[Krav til kvalitet / EN standarder/henvisning til Norsk møbelfakta]]=2,"Ja",Tabell2[[#This Row],[Robuste møbeltekstiler/ kvalitet på møbeltrekk]]=2,"Ja",Tabell2[[#This Row],[Design for lang levetid (Demontering, Reservedeler, produktinformasjon om montering og vedlikehold)]]=2,"Ja",Tabell2[[#This Row],[Merking av plast]]=2,"Ja",Tabell2[[#This Row],[Vask og rengjøring av møbler]]=2,"Ja",Tabell2[[#This Row],[Emballasjen skal være resirkulerbar/ gjenbrukbar (kravet om miljøvennelig emballasje)]]=2,"Ja",Tabell2[[#This Row],[Emballasje (retur- grønt punkt, gjenvinning) (kravet om gjenvinnbar emballasje)]]=2,"Ja",Tabell2[[#This Row],[Kjemikalietabellen (unngå skadelige kjemikaler)]]=2,"Ja",Tabell2[[#This Row],[Flammehemmere]]=2,"Ja",Tabell2[[#This Row],[PVC]]=2,"Ja",Tabell2[[#This Row],[Sosiale hensyn og menneske-rettigheter er inkludert]]=2,"Ja")</f>
        <v>#N/A</v>
      </c>
    </row>
    <row r="24" spans="1:84" s="2" customFormat="1" ht="14.45" customHeight="1" x14ac:dyDescent="0.25">
      <c r="A24" s="10">
        <v>2021</v>
      </c>
      <c r="B24" s="10" t="s">
        <v>225</v>
      </c>
      <c r="C24" s="60">
        <v>44336</v>
      </c>
      <c r="D24" s="37" t="s">
        <v>226</v>
      </c>
      <c r="E24" s="61">
        <v>994598759</v>
      </c>
      <c r="F24" s="36" t="s">
        <v>227</v>
      </c>
      <c r="G24" s="69" t="s">
        <v>79</v>
      </c>
      <c r="H24" s="36" t="s">
        <v>80</v>
      </c>
      <c r="I24" s="4">
        <v>39130000</v>
      </c>
      <c r="J24" s="10" t="s">
        <v>81</v>
      </c>
      <c r="K24" s="4" t="s">
        <v>75</v>
      </c>
      <c r="L24" s="21" t="s">
        <v>81</v>
      </c>
      <c r="M24" s="4">
        <v>0</v>
      </c>
      <c r="N24" s="76">
        <v>560000</v>
      </c>
      <c r="O24" s="4">
        <v>1</v>
      </c>
      <c r="P24" s="49" t="s">
        <v>228</v>
      </c>
      <c r="Q24" s="35" t="s">
        <v>229</v>
      </c>
      <c r="R24" s="13"/>
      <c r="S24" s="80">
        <v>0</v>
      </c>
      <c r="T24" s="80">
        <v>0.4</v>
      </c>
      <c r="U24" s="80">
        <v>0.6</v>
      </c>
      <c r="V24" s="45">
        <v>0</v>
      </c>
      <c r="W24" s="123">
        <v>0</v>
      </c>
      <c r="X24" s="2">
        <v>0</v>
      </c>
      <c r="Y24" s="123">
        <v>0</v>
      </c>
      <c r="Z24" s="43">
        <v>0</v>
      </c>
      <c r="AA24" s="17">
        <v>1</v>
      </c>
      <c r="AB24" s="17">
        <v>0</v>
      </c>
      <c r="AC24" s="17">
        <v>0</v>
      </c>
      <c r="AD24" s="17">
        <v>0</v>
      </c>
      <c r="AE24" s="10">
        <v>0</v>
      </c>
      <c r="AF24" s="10">
        <v>0</v>
      </c>
      <c r="AG24" s="14">
        <v>0</v>
      </c>
      <c r="AH24" s="10">
        <v>0</v>
      </c>
      <c r="AI24" s="10">
        <v>0</v>
      </c>
      <c r="AJ24" s="10">
        <v>0</v>
      </c>
      <c r="AK24" s="10">
        <v>1</v>
      </c>
      <c r="AL24" s="15">
        <v>1</v>
      </c>
      <c r="AM24" s="15">
        <v>0</v>
      </c>
      <c r="AN24" s="15">
        <v>0</v>
      </c>
      <c r="AO24" s="98">
        <v>0</v>
      </c>
      <c r="AP24" s="15">
        <v>0</v>
      </c>
      <c r="AQ24" s="15">
        <v>0</v>
      </c>
      <c r="AR24" s="15">
        <v>0</v>
      </c>
      <c r="AS24" s="15">
        <v>0</v>
      </c>
      <c r="AT24" s="15">
        <v>0</v>
      </c>
      <c r="AU24" s="15">
        <v>0</v>
      </c>
      <c r="AV24" s="10">
        <v>2</v>
      </c>
      <c r="AW24" s="10">
        <v>0</v>
      </c>
      <c r="AX24" s="10">
        <v>0</v>
      </c>
      <c r="AY24" s="10">
        <v>0</v>
      </c>
      <c r="AZ24" s="10">
        <v>0</v>
      </c>
      <c r="BA24" s="2">
        <v>0</v>
      </c>
      <c r="BB24" s="10">
        <v>0</v>
      </c>
      <c r="BC24" s="10">
        <v>0</v>
      </c>
      <c r="BD24" s="10">
        <v>0</v>
      </c>
      <c r="BE24" s="10">
        <v>0</v>
      </c>
      <c r="BF24" s="10">
        <v>0</v>
      </c>
      <c r="BG24" s="10">
        <v>0</v>
      </c>
      <c r="BH24" s="10">
        <v>0</v>
      </c>
      <c r="BI24" s="10">
        <v>0</v>
      </c>
      <c r="BJ24" s="10">
        <v>0</v>
      </c>
      <c r="BK24" s="10">
        <v>0</v>
      </c>
      <c r="BL24" s="10">
        <v>0</v>
      </c>
      <c r="BM24" s="10">
        <v>0</v>
      </c>
      <c r="BN24" s="10">
        <v>0</v>
      </c>
      <c r="BO24" s="10">
        <v>0</v>
      </c>
      <c r="BP24" s="10">
        <v>0</v>
      </c>
      <c r="BQ24" s="10">
        <v>0</v>
      </c>
      <c r="BR24" s="45">
        <v>1</v>
      </c>
      <c r="BS24" s="20">
        <v>0</v>
      </c>
      <c r="BT24" s="48">
        <v>1</v>
      </c>
      <c r="BU24" s="20">
        <v>0</v>
      </c>
      <c r="BV24" s="20">
        <v>0</v>
      </c>
      <c r="BW24" s="82" t="s">
        <v>230</v>
      </c>
      <c r="BX24" s="21"/>
      <c r="CB24" s="2">
        <f t="shared" si="0"/>
        <v>1</v>
      </c>
      <c r="CC24" s="2">
        <f t="shared" si="1"/>
        <v>1</v>
      </c>
      <c r="CD24" s="2">
        <f t="shared" si="2"/>
        <v>0</v>
      </c>
      <c r="CE24" s="2">
        <f t="shared" si="3"/>
        <v>25</v>
      </c>
      <c r="CF24" s="2" t="e" cm="1">
        <f t="array" ref="CF24">+_xlfn.IFS(Tabell2[[#This Row],[EPD/Miljødeklarasjon - som krav, tildelingskriterium, kontraktsvilkår eller dokumentasjon]]=2,"Ja",Tabell2[[#This Row],[Bærekraftig trevirke/skogbruk - tømmerforordningen, FSC eller PEFC ]]=2,"Ja",Tabell2[[#This Row],[Krav til kvalitet / EN standarder/henvisning til Norsk møbelfakta]]=2,"Ja",Tabell2[[#This Row],[Robuste møbeltekstiler/ kvalitet på møbeltrekk]]=2,"Ja",Tabell2[[#This Row],[Design for lang levetid (Demontering, Reservedeler, produktinformasjon om montering og vedlikehold)]]=2,"Ja",Tabell2[[#This Row],[Merking av plast]]=2,"Ja",Tabell2[[#This Row],[Vask og rengjøring av møbler]]=2,"Ja",Tabell2[[#This Row],[Emballasjen skal være resirkulerbar/ gjenbrukbar (kravet om miljøvennelig emballasje)]]=2,"Ja",Tabell2[[#This Row],[Emballasje (retur- grønt punkt, gjenvinning) (kravet om gjenvinnbar emballasje)]]=2,"Ja",Tabell2[[#This Row],[Kjemikalietabellen (unngå skadelige kjemikaler)]]=2,"Ja",Tabell2[[#This Row],[Flammehemmere]]=2,"Ja",Tabell2[[#This Row],[PVC]]=2,"Ja",Tabell2[[#This Row],[Sosiale hensyn og menneske-rettigheter er inkludert]]=2,"Ja")</f>
        <v>#N/A</v>
      </c>
    </row>
    <row r="25" spans="1:84" s="2" customFormat="1" ht="14.45" customHeight="1" x14ac:dyDescent="0.25">
      <c r="A25" s="10">
        <v>2021</v>
      </c>
      <c r="B25" s="10" t="s">
        <v>231</v>
      </c>
      <c r="C25" s="60">
        <v>44267</v>
      </c>
      <c r="D25" s="41" t="s">
        <v>232</v>
      </c>
      <c r="E25" s="61">
        <v>997058925</v>
      </c>
      <c r="F25" s="39" t="s">
        <v>233</v>
      </c>
      <c r="G25" s="72" t="s">
        <v>118</v>
      </c>
      <c r="H25" s="39" t="s">
        <v>138</v>
      </c>
      <c r="I25" s="4">
        <v>39100000</v>
      </c>
      <c r="J25" s="10">
        <v>0</v>
      </c>
      <c r="K25" s="4" t="s">
        <v>75</v>
      </c>
      <c r="L25" s="21" t="s">
        <v>82</v>
      </c>
      <c r="M25" s="4">
        <v>0</v>
      </c>
      <c r="N25" s="76">
        <v>26000000</v>
      </c>
      <c r="O25" s="4">
        <v>1</v>
      </c>
      <c r="P25" s="50" t="s">
        <v>234</v>
      </c>
      <c r="Q25" s="35" t="s">
        <v>235</v>
      </c>
      <c r="R25" s="13"/>
      <c r="S25" s="80">
        <v>0</v>
      </c>
      <c r="T25" s="80">
        <v>0.4</v>
      </c>
      <c r="U25" s="80">
        <v>0.6</v>
      </c>
      <c r="V25" s="45">
        <v>0</v>
      </c>
      <c r="W25" s="123">
        <v>0</v>
      </c>
      <c r="X25" s="2">
        <v>0</v>
      </c>
      <c r="Y25" s="123">
        <v>0</v>
      </c>
      <c r="Z25" s="43">
        <v>0</v>
      </c>
      <c r="AA25" s="17">
        <v>1</v>
      </c>
      <c r="AB25" s="17">
        <v>0</v>
      </c>
      <c r="AC25" s="17">
        <v>0</v>
      </c>
      <c r="AD25" s="17">
        <v>0</v>
      </c>
      <c r="AE25" s="10">
        <v>0</v>
      </c>
      <c r="AF25" s="10">
        <v>0</v>
      </c>
      <c r="AG25" s="14">
        <v>0</v>
      </c>
      <c r="AH25" s="10">
        <v>0</v>
      </c>
      <c r="AI25" s="10">
        <v>0</v>
      </c>
      <c r="AJ25" s="10">
        <v>1</v>
      </c>
      <c r="AK25" s="10">
        <v>1</v>
      </c>
      <c r="AL25" s="15">
        <v>1</v>
      </c>
      <c r="AM25" s="15">
        <v>0</v>
      </c>
      <c r="AN25" s="15">
        <v>0</v>
      </c>
      <c r="AO25" s="98">
        <v>0</v>
      </c>
      <c r="AP25" s="15">
        <v>0</v>
      </c>
      <c r="AQ25" s="15">
        <v>0</v>
      </c>
      <c r="AR25" s="15">
        <v>0</v>
      </c>
      <c r="AS25" s="15">
        <v>0</v>
      </c>
      <c r="AT25" s="15">
        <v>0</v>
      </c>
      <c r="AU25" s="15">
        <v>0</v>
      </c>
      <c r="AV25" s="10">
        <v>5</v>
      </c>
      <c r="AW25" s="10">
        <v>0</v>
      </c>
      <c r="AX25" s="10">
        <v>0</v>
      </c>
      <c r="AY25" s="10">
        <v>0</v>
      </c>
      <c r="AZ25" s="10">
        <v>1</v>
      </c>
      <c r="BA25" s="2">
        <v>0</v>
      </c>
      <c r="BB25" s="10">
        <v>2</v>
      </c>
      <c r="BC25" s="10">
        <v>0</v>
      </c>
      <c r="BD25" s="10">
        <v>1</v>
      </c>
      <c r="BE25" s="10">
        <v>1</v>
      </c>
      <c r="BF25" s="10">
        <v>1</v>
      </c>
      <c r="BG25" s="10">
        <v>1</v>
      </c>
      <c r="BH25" s="10">
        <v>1</v>
      </c>
      <c r="BI25" s="10">
        <v>1</v>
      </c>
      <c r="BJ25" s="10">
        <v>1</v>
      </c>
      <c r="BK25" s="10">
        <v>0</v>
      </c>
      <c r="BL25" s="10">
        <v>0</v>
      </c>
      <c r="BM25" s="10">
        <v>0</v>
      </c>
      <c r="BN25" s="10">
        <v>1</v>
      </c>
      <c r="BO25" s="10">
        <v>0</v>
      </c>
      <c r="BP25" s="10">
        <v>0</v>
      </c>
      <c r="BQ25" s="10">
        <v>0</v>
      </c>
      <c r="BR25" s="45">
        <v>2</v>
      </c>
      <c r="BS25" s="20">
        <v>0</v>
      </c>
      <c r="BT25" s="48">
        <v>1</v>
      </c>
      <c r="BU25" s="20">
        <v>0</v>
      </c>
      <c r="BV25" s="20">
        <v>0</v>
      </c>
      <c r="BW25" s="82" t="s">
        <v>236</v>
      </c>
      <c r="BX25" s="21"/>
      <c r="CB25" s="2">
        <f t="shared" si="0"/>
        <v>1</v>
      </c>
      <c r="CC25" s="2">
        <f t="shared" si="1"/>
        <v>1</v>
      </c>
      <c r="CD25" s="2">
        <f t="shared" si="2"/>
        <v>0</v>
      </c>
      <c r="CE25" s="2">
        <f t="shared" si="3"/>
        <v>26</v>
      </c>
      <c r="CF25" s="2" t="str" cm="1">
        <f t="array" ref="CF25">+_xlfn.IFS(Tabell2[[#This Row],[EPD/Miljødeklarasjon - som krav, tildelingskriterium, kontraktsvilkår eller dokumentasjon]]=2,"Ja",Tabell2[[#This Row],[Bærekraftig trevirke/skogbruk - tømmerforordningen, FSC eller PEFC ]]=2,"Ja",Tabell2[[#This Row],[Krav til kvalitet / EN standarder/henvisning til Norsk møbelfakta]]=2,"Ja",Tabell2[[#This Row],[Robuste møbeltekstiler/ kvalitet på møbeltrekk]]=2,"Ja",Tabell2[[#This Row],[Design for lang levetid (Demontering, Reservedeler, produktinformasjon om montering og vedlikehold)]]=2,"Ja",Tabell2[[#This Row],[Merking av plast]]=2,"Ja",Tabell2[[#This Row],[Vask og rengjøring av møbler]]=2,"Ja",Tabell2[[#This Row],[Emballasjen skal være resirkulerbar/ gjenbrukbar (kravet om miljøvennelig emballasje)]]=2,"Ja",Tabell2[[#This Row],[Emballasje (retur- grønt punkt, gjenvinning) (kravet om gjenvinnbar emballasje)]]=2,"Ja",Tabell2[[#This Row],[Kjemikalietabellen (unngå skadelige kjemikaler)]]=2,"Ja",Tabell2[[#This Row],[Flammehemmere]]=2,"Ja",Tabell2[[#This Row],[PVC]]=2,"Ja",Tabell2[[#This Row],[Sosiale hensyn og menneske-rettigheter er inkludert]]=2,"Ja")</f>
        <v>Ja</v>
      </c>
    </row>
    <row r="26" spans="1:84" s="2" customFormat="1" ht="14.45" customHeight="1" x14ac:dyDescent="0.25">
      <c r="A26" s="10">
        <v>2021</v>
      </c>
      <c r="B26" s="10" t="s">
        <v>244</v>
      </c>
      <c r="C26" s="60">
        <v>44534</v>
      </c>
      <c r="D26" s="37" t="s">
        <v>243</v>
      </c>
      <c r="E26" s="61">
        <v>872418032</v>
      </c>
      <c r="F26" s="36" t="s">
        <v>245</v>
      </c>
      <c r="G26" s="69" t="s">
        <v>117</v>
      </c>
      <c r="H26" s="36" t="s">
        <v>99</v>
      </c>
      <c r="I26" s="4">
        <v>39100000</v>
      </c>
      <c r="J26" s="10" t="s">
        <v>81</v>
      </c>
      <c r="K26" s="4" t="s">
        <v>75</v>
      </c>
      <c r="L26" s="21" t="s">
        <v>82</v>
      </c>
      <c r="M26" s="4">
        <v>0</v>
      </c>
      <c r="N26" s="76">
        <v>2100000</v>
      </c>
      <c r="O26" s="4">
        <v>1</v>
      </c>
      <c r="P26" s="49" t="s">
        <v>246</v>
      </c>
      <c r="Q26" s="35" t="s">
        <v>247</v>
      </c>
      <c r="R26" s="13"/>
      <c r="S26" s="80">
        <v>0.3</v>
      </c>
      <c r="T26" s="80">
        <v>0.7</v>
      </c>
      <c r="U26" s="80">
        <v>0</v>
      </c>
      <c r="V26" s="45">
        <v>0</v>
      </c>
      <c r="W26" s="123">
        <v>0</v>
      </c>
      <c r="X26" s="2">
        <v>0</v>
      </c>
      <c r="Y26" s="123">
        <v>0</v>
      </c>
      <c r="Z26" s="43">
        <v>0</v>
      </c>
      <c r="AA26" s="17">
        <v>1</v>
      </c>
      <c r="AB26" s="17">
        <v>0</v>
      </c>
      <c r="AC26" s="17">
        <v>1</v>
      </c>
      <c r="AD26" s="17">
        <v>0</v>
      </c>
      <c r="AE26" s="10">
        <v>0</v>
      </c>
      <c r="AF26" s="10">
        <v>0</v>
      </c>
      <c r="AG26" s="14">
        <v>0</v>
      </c>
      <c r="AH26" s="10">
        <v>0</v>
      </c>
      <c r="AI26" s="10">
        <v>0</v>
      </c>
      <c r="AJ26" s="10">
        <v>0</v>
      </c>
      <c r="AK26" s="10">
        <v>0</v>
      </c>
      <c r="AL26" s="15">
        <v>1</v>
      </c>
      <c r="AM26" s="15">
        <v>0</v>
      </c>
      <c r="AN26" s="15">
        <v>0</v>
      </c>
      <c r="AO26" s="98">
        <v>2</v>
      </c>
      <c r="AP26" s="15">
        <v>0</v>
      </c>
      <c r="AQ26" s="15">
        <v>0</v>
      </c>
      <c r="AR26" s="15">
        <v>0</v>
      </c>
      <c r="AS26" s="15">
        <v>0</v>
      </c>
      <c r="AT26" s="15">
        <v>0</v>
      </c>
      <c r="AU26" s="15">
        <v>0</v>
      </c>
      <c r="AV26" s="10">
        <v>5</v>
      </c>
      <c r="AW26" s="10">
        <v>2</v>
      </c>
      <c r="AX26" s="10">
        <v>0</v>
      </c>
      <c r="AY26" s="10">
        <v>0</v>
      </c>
      <c r="AZ26" s="10">
        <v>0</v>
      </c>
      <c r="BA26" s="2">
        <v>0</v>
      </c>
      <c r="BB26" s="10">
        <v>1</v>
      </c>
      <c r="BC26" s="10">
        <v>0</v>
      </c>
      <c r="BD26" s="10">
        <v>1</v>
      </c>
      <c r="BE26" s="10">
        <v>0</v>
      </c>
      <c r="BF26" s="10">
        <v>0</v>
      </c>
      <c r="BG26" s="10">
        <v>0</v>
      </c>
      <c r="BH26" s="10">
        <v>0</v>
      </c>
      <c r="BI26" s="10">
        <v>0</v>
      </c>
      <c r="BJ26" s="10">
        <v>1</v>
      </c>
      <c r="BK26" s="10">
        <v>1</v>
      </c>
      <c r="BL26" s="10">
        <v>0</v>
      </c>
      <c r="BM26" s="10">
        <v>0</v>
      </c>
      <c r="BN26" s="10">
        <v>0</v>
      </c>
      <c r="BO26" s="10">
        <v>0</v>
      </c>
      <c r="BP26" s="10">
        <v>0</v>
      </c>
      <c r="BQ26" s="10">
        <v>0</v>
      </c>
      <c r="BR26" s="45">
        <v>0</v>
      </c>
      <c r="BS26" s="20">
        <v>0</v>
      </c>
      <c r="BT26" s="48">
        <v>0</v>
      </c>
      <c r="BU26" s="20">
        <v>0</v>
      </c>
      <c r="BV26" s="20">
        <v>0</v>
      </c>
      <c r="BW26" s="82" t="s">
        <v>93</v>
      </c>
      <c r="BX26" s="21"/>
      <c r="CB26" s="2">
        <f t="shared" si="0"/>
        <v>1</v>
      </c>
      <c r="CC26" s="2">
        <f t="shared" si="1"/>
        <v>1</v>
      </c>
      <c r="CD26" s="2">
        <f t="shared" si="2"/>
        <v>0</v>
      </c>
      <c r="CE26" s="2">
        <f t="shared" si="3"/>
        <v>27</v>
      </c>
      <c r="CF26" s="2" t="str" cm="1">
        <f t="array" ref="CF26">+_xlfn.IFS(Tabell2[[#This Row],[EPD/Miljødeklarasjon - som krav, tildelingskriterium, kontraktsvilkår eller dokumentasjon]]=2,"Ja",Tabell2[[#This Row],[Bærekraftig trevirke/skogbruk - tømmerforordningen, FSC eller PEFC ]]=2,"Ja",Tabell2[[#This Row],[Krav til kvalitet / EN standarder/henvisning til Norsk møbelfakta]]=2,"Ja",Tabell2[[#This Row],[Robuste møbeltekstiler/ kvalitet på møbeltrekk]]=2,"Ja",Tabell2[[#This Row],[Design for lang levetid (Demontering, Reservedeler, produktinformasjon om montering og vedlikehold)]]=2,"Ja",Tabell2[[#This Row],[Merking av plast]]=2,"Ja",Tabell2[[#This Row],[Vask og rengjøring av møbler]]=2,"Ja",Tabell2[[#This Row],[Emballasjen skal være resirkulerbar/ gjenbrukbar (kravet om miljøvennelig emballasje)]]=2,"Ja",Tabell2[[#This Row],[Emballasje (retur- grønt punkt, gjenvinning) (kravet om gjenvinnbar emballasje)]]=2,"Ja",Tabell2[[#This Row],[Kjemikalietabellen (unngå skadelige kjemikaler)]]=2,"Ja",Tabell2[[#This Row],[Flammehemmere]]=2,"Ja",Tabell2[[#This Row],[PVC]]=2,"Ja",Tabell2[[#This Row],[Sosiale hensyn og menneske-rettigheter er inkludert]]=2,"Ja")</f>
        <v>Ja</v>
      </c>
    </row>
    <row r="27" spans="1:84" s="2" customFormat="1" ht="14.45" customHeight="1" x14ac:dyDescent="0.25">
      <c r="A27" s="10">
        <v>2021</v>
      </c>
      <c r="B27" s="10" t="s">
        <v>249</v>
      </c>
      <c r="C27" s="60">
        <v>44349</v>
      </c>
      <c r="D27" s="41" t="s">
        <v>250</v>
      </c>
      <c r="E27" s="61">
        <v>974761262</v>
      </c>
      <c r="F27" s="36" t="s">
        <v>251</v>
      </c>
      <c r="G27" s="69" t="s">
        <v>248</v>
      </c>
      <c r="H27" s="36" t="s">
        <v>80</v>
      </c>
      <c r="I27" s="4">
        <v>39130000</v>
      </c>
      <c r="J27" s="10">
        <v>0</v>
      </c>
      <c r="K27" s="4" t="s">
        <v>75</v>
      </c>
      <c r="L27" s="21" t="s">
        <v>82</v>
      </c>
      <c r="M27" s="4">
        <v>0</v>
      </c>
      <c r="N27" s="76">
        <v>500000</v>
      </c>
      <c r="O27" s="4">
        <v>1</v>
      </c>
      <c r="P27" s="49" t="s">
        <v>252</v>
      </c>
      <c r="Q27" s="35" t="s">
        <v>253</v>
      </c>
      <c r="R27" s="13"/>
      <c r="S27" s="80">
        <v>0</v>
      </c>
      <c r="T27" s="80">
        <v>0.4</v>
      </c>
      <c r="U27" s="80">
        <v>0.6</v>
      </c>
      <c r="V27" s="45">
        <v>0</v>
      </c>
      <c r="W27" s="123">
        <v>0</v>
      </c>
      <c r="X27" s="2">
        <v>0</v>
      </c>
      <c r="Y27" s="123">
        <v>1</v>
      </c>
      <c r="Z27" s="43">
        <v>0</v>
      </c>
      <c r="AA27" s="17">
        <v>1</v>
      </c>
      <c r="AB27" s="17">
        <v>0</v>
      </c>
      <c r="AC27" s="17">
        <v>0</v>
      </c>
      <c r="AD27" s="17">
        <v>0</v>
      </c>
      <c r="AE27" s="10">
        <v>0</v>
      </c>
      <c r="AF27" s="10">
        <v>1</v>
      </c>
      <c r="AG27" s="14">
        <v>0</v>
      </c>
      <c r="AH27" s="10">
        <v>0</v>
      </c>
      <c r="AI27" s="10">
        <v>0</v>
      </c>
      <c r="AJ27" s="10">
        <v>0</v>
      </c>
      <c r="AK27" s="10">
        <v>2</v>
      </c>
      <c r="AL27" s="15">
        <v>1</v>
      </c>
      <c r="AM27" s="15">
        <v>0</v>
      </c>
      <c r="AN27" s="15">
        <v>0</v>
      </c>
      <c r="AO27" s="98">
        <v>2</v>
      </c>
      <c r="AP27" s="15">
        <v>0</v>
      </c>
      <c r="AQ27" s="15">
        <v>0</v>
      </c>
      <c r="AR27" s="15">
        <v>0</v>
      </c>
      <c r="AS27" s="15">
        <v>2</v>
      </c>
      <c r="AT27" s="15">
        <v>0</v>
      </c>
      <c r="AU27" s="15">
        <v>0</v>
      </c>
      <c r="AV27" s="10">
        <v>5</v>
      </c>
      <c r="AW27" s="10">
        <v>0</v>
      </c>
      <c r="AX27" s="10">
        <v>0</v>
      </c>
      <c r="AY27" s="10">
        <v>0</v>
      </c>
      <c r="AZ27" s="10">
        <v>0</v>
      </c>
      <c r="BA27" s="2">
        <v>0</v>
      </c>
      <c r="BB27" s="10">
        <v>2</v>
      </c>
      <c r="BC27" s="10">
        <v>0</v>
      </c>
      <c r="BD27" s="10">
        <v>0</v>
      </c>
      <c r="BE27" s="10">
        <v>0</v>
      </c>
      <c r="BF27" s="10">
        <v>0</v>
      </c>
      <c r="BG27" s="10">
        <v>0</v>
      </c>
      <c r="BH27" s="10">
        <v>0</v>
      </c>
      <c r="BI27" s="10">
        <v>0</v>
      </c>
      <c r="BJ27" s="10">
        <v>0</v>
      </c>
      <c r="BK27" s="10">
        <v>0</v>
      </c>
      <c r="BL27" s="10">
        <v>0</v>
      </c>
      <c r="BM27" s="10">
        <v>0</v>
      </c>
      <c r="BN27" s="10">
        <v>0</v>
      </c>
      <c r="BO27" s="10">
        <v>0</v>
      </c>
      <c r="BP27" s="10">
        <v>0</v>
      </c>
      <c r="BQ27" s="10">
        <v>0</v>
      </c>
      <c r="BR27" s="45">
        <v>0</v>
      </c>
      <c r="BS27" s="20">
        <v>0</v>
      </c>
      <c r="BT27" s="48">
        <v>0</v>
      </c>
      <c r="BU27" s="20">
        <v>0</v>
      </c>
      <c r="BV27" s="20">
        <v>0</v>
      </c>
      <c r="BW27" s="82" t="s">
        <v>93</v>
      </c>
      <c r="BX27" s="21"/>
      <c r="CB27" s="2">
        <f t="shared" si="0"/>
        <v>1</v>
      </c>
      <c r="CC27" s="2">
        <f t="shared" si="1"/>
        <v>1</v>
      </c>
      <c r="CD27" s="2">
        <f t="shared" si="2"/>
        <v>1</v>
      </c>
      <c r="CE27" s="2">
        <f t="shared" si="3"/>
        <v>28</v>
      </c>
      <c r="CF27" s="2" t="str" cm="1">
        <f t="array" ref="CF27">+_xlfn.IFS(Tabell2[[#This Row],[EPD/Miljødeklarasjon - som krav, tildelingskriterium, kontraktsvilkår eller dokumentasjon]]=2,"Ja",Tabell2[[#This Row],[Bærekraftig trevirke/skogbruk - tømmerforordningen, FSC eller PEFC ]]=2,"Ja",Tabell2[[#This Row],[Krav til kvalitet / EN standarder/henvisning til Norsk møbelfakta]]=2,"Ja",Tabell2[[#This Row],[Robuste møbeltekstiler/ kvalitet på møbeltrekk]]=2,"Ja",Tabell2[[#This Row],[Design for lang levetid (Demontering, Reservedeler, produktinformasjon om montering og vedlikehold)]]=2,"Ja",Tabell2[[#This Row],[Merking av plast]]=2,"Ja",Tabell2[[#This Row],[Vask og rengjøring av møbler]]=2,"Ja",Tabell2[[#This Row],[Emballasjen skal være resirkulerbar/ gjenbrukbar (kravet om miljøvennelig emballasje)]]=2,"Ja",Tabell2[[#This Row],[Emballasje (retur- grønt punkt, gjenvinning) (kravet om gjenvinnbar emballasje)]]=2,"Ja",Tabell2[[#This Row],[Kjemikalietabellen (unngå skadelige kjemikaler)]]=2,"Ja",Tabell2[[#This Row],[Flammehemmere]]=2,"Ja",Tabell2[[#This Row],[PVC]]=2,"Ja",Tabell2[[#This Row],[Sosiale hensyn og menneske-rettigheter er inkludert]]=2,"Ja")</f>
        <v>Ja</v>
      </c>
    </row>
    <row r="28" spans="1:84" s="2" customFormat="1" ht="14.45" customHeight="1" x14ac:dyDescent="0.25">
      <c r="A28" s="10">
        <v>2021</v>
      </c>
      <c r="B28" s="10" t="s">
        <v>278</v>
      </c>
      <c r="C28" s="60">
        <v>44364</v>
      </c>
      <c r="D28" s="41" t="s">
        <v>279</v>
      </c>
      <c r="E28" s="61">
        <v>971524960</v>
      </c>
      <c r="F28" s="36" t="s">
        <v>280</v>
      </c>
      <c r="G28" s="69" t="s">
        <v>118</v>
      </c>
      <c r="H28" s="36" t="s">
        <v>80</v>
      </c>
      <c r="I28" s="4">
        <v>39130000</v>
      </c>
      <c r="J28" s="10">
        <v>0</v>
      </c>
      <c r="K28" s="4" t="s">
        <v>75</v>
      </c>
      <c r="L28" s="21" t="s">
        <v>82</v>
      </c>
      <c r="M28" s="4">
        <v>1</v>
      </c>
      <c r="N28" s="76">
        <v>3000000</v>
      </c>
      <c r="O28" s="4">
        <v>1</v>
      </c>
      <c r="P28" s="49" t="s">
        <v>281</v>
      </c>
      <c r="Q28" s="35" t="s">
        <v>282</v>
      </c>
      <c r="R28" s="13"/>
      <c r="S28" s="80">
        <v>0</v>
      </c>
      <c r="T28" s="80">
        <v>0.8</v>
      </c>
      <c r="U28" s="80">
        <v>0.19999999999999996</v>
      </c>
      <c r="V28" s="45">
        <v>0</v>
      </c>
      <c r="W28" s="123">
        <v>0</v>
      </c>
      <c r="X28" s="2">
        <v>0</v>
      </c>
      <c r="Y28" s="123">
        <v>1</v>
      </c>
      <c r="Z28" s="81">
        <v>0</v>
      </c>
      <c r="AA28" s="14">
        <v>1</v>
      </c>
      <c r="AB28" s="14">
        <v>0</v>
      </c>
      <c r="AC28" s="14">
        <v>0</v>
      </c>
      <c r="AD28" s="14">
        <v>0</v>
      </c>
      <c r="AE28" s="10">
        <v>0</v>
      </c>
      <c r="AF28" s="10">
        <v>0</v>
      </c>
      <c r="AG28" s="14">
        <v>0</v>
      </c>
      <c r="AH28" s="10">
        <v>0</v>
      </c>
      <c r="AI28" s="10">
        <v>1</v>
      </c>
      <c r="AJ28" s="10">
        <v>1</v>
      </c>
      <c r="AK28" s="10">
        <v>0</v>
      </c>
      <c r="AL28" s="15">
        <v>1</v>
      </c>
      <c r="AM28" s="15">
        <v>0</v>
      </c>
      <c r="AN28" s="15">
        <v>0</v>
      </c>
      <c r="AO28" s="98">
        <v>2</v>
      </c>
      <c r="AP28" s="15">
        <v>0</v>
      </c>
      <c r="AQ28" s="15">
        <v>0</v>
      </c>
      <c r="AR28" s="15">
        <v>0</v>
      </c>
      <c r="AS28" s="15">
        <v>0</v>
      </c>
      <c r="AT28" s="15">
        <v>0</v>
      </c>
      <c r="AU28" s="15">
        <v>0</v>
      </c>
      <c r="AV28" s="10">
        <v>5</v>
      </c>
      <c r="AW28" s="10">
        <v>0</v>
      </c>
      <c r="AX28" s="10">
        <v>0</v>
      </c>
      <c r="AY28" s="10">
        <v>0</v>
      </c>
      <c r="AZ28" s="10">
        <v>1</v>
      </c>
      <c r="BA28" s="2">
        <v>0</v>
      </c>
      <c r="BB28" s="10">
        <v>1</v>
      </c>
      <c r="BC28" s="10">
        <v>0</v>
      </c>
      <c r="BD28" s="10">
        <v>1</v>
      </c>
      <c r="BE28" s="10">
        <v>0</v>
      </c>
      <c r="BF28" s="10">
        <v>0</v>
      </c>
      <c r="BG28" s="10">
        <v>0</v>
      </c>
      <c r="BH28" s="10">
        <v>0</v>
      </c>
      <c r="BI28" s="10">
        <v>0</v>
      </c>
      <c r="BJ28" s="10">
        <v>1</v>
      </c>
      <c r="BK28" s="10">
        <v>0</v>
      </c>
      <c r="BL28" s="10">
        <v>0</v>
      </c>
      <c r="BM28" s="10">
        <v>0</v>
      </c>
      <c r="BN28" s="10">
        <v>1</v>
      </c>
      <c r="BO28" s="10">
        <v>0</v>
      </c>
      <c r="BP28" s="10">
        <v>0</v>
      </c>
      <c r="BQ28" s="10">
        <v>0</v>
      </c>
      <c r="BR28" s="45">
        <v>1</v>
      </c>
      <c r="BS28" s="20">
        <v>0</v>
      </c>
      <c r="BT28" s="48">
        <v>1</v>
      </c>
      <c r="BU28" s="20">
        <v>0</v>
      </c>
      <c r="BV28" s="20">
        <v>0</v>
      </c>
      <c r="BW28" s="82" t="s">
        <v>283</v>
      </c>
      <c r="BX28" s="21"/>
      <c r="CB28" s="2">
        <f t="shared" si="0"/>
        <v>1</v>
      </c>
      <c r="CC28" s="2">
        <f t="shared" si="1"/>
        <v>1</v>
      </c>
      <c r="CD28" s="2">
        <f t="shared" si="2"/>
        <v>0</v>
      </c>
      <c r="CE28" s="2">
        <f t="shared" si="3"/>
        <v>29</v>
      </c>
      <c r="CF28" s="2" t="str" cm="1">
        <f t="array" ref="CF28">+_xlfn.IFS(Tabell2[[#This Row],[EPD/Miljødeklarasjon - som krav, tildelingskriterium, kontraktsvilkår eller dokumentasjon]]=2,"Ja",Tabell2[[#This Row],[Bærekraftig trevirke/skogbruk - tømmerforordningen, FSC eller PEFC ]]=2,"Ja",Tabell2[[#This Row],[Krav til kvalitet / EN standarder/henvisning til Norsk møbelfakta]]=2,"Ja",Tabell2[[#This Row],[Robuste møbeltekstiler/ kvalitet på møbeltrekk]]=2,"Ja",Tabell2[[#This Row],[Design for lang levetid (Demontering, Reservedeler, produktinformasjon om montering og vedlikehold)]]=2,"Ja",Tabell2[[#This Row],[Merking av plast]]=2,"Ja",Tabell2[[#This Row],[Vask og rengjøring av møbler]]=2,"Ja",Tabell2[[#This Row],[Emballasjen skal være resirkulerbar/ gjenbrukbar (kravet om miljøvennelig emballasje)]]=2,"Ja",Tabell2[[#This Row],[Emballasje (retur- grønt punkt, gjenvinning) (kravet om gjenvinnbar emballasje)]]=2,"Ja",Tabell2[[#This Row],[Kjemikalietabellen (unngå skadelige kjemikaler)]]=2,"Ja",Tabell2[[#This Row],[Flammehemmere]]=2,"Ja",Tabell2[[#This Row],[PVC]]=2,"Ja",Tabell2[[#This Row],[Sosiale hensyn og menneske-rettigheter er inkludert]]=2,"Ja")</f>
        <v>Ja</v>
      </c>
    </row>
    <row r="29" spans="1:84" s="2" customFormat="1" ht="14.45" customHeight="1" x14ac:dyDescent="0.25">
      <c r="A29" s="10">
        <v>2021</v>
      </c>
      <c r="B29" s="10" t="s">
        <v>278</v>
      </c>
      <c r="C29" s="60">
        <v>44364</v>
      </c>
      <c r="D29" s="41" t="s">
        <v>279</v>
      </c>
      <c r="E29" s="61">
        <v>971524960</v>
      </c>
      <c r="F29" s="36" t="s">
        <v>284</v>
      </c>
      <c r="G29" s="69" t="s">
        <v>118</v>
      </c>
      <c r="H29" s="36" t="s">
        <v>80</v>
      </c>
      <c r="I29" s="4">
        <v>39130000</v>
      </c>
      <c r="J29" s="10">
        <v>0</v>
      </c>
      <c r="K29" s="4" t="s">
        <v>75</v>
      </c>
      <c r="L29" s="21" t="s">
        <v>82</v>
      </c>
      <c r="M29" s="4">
        <v>1</v>
      </c>
      <c r="N29" s="76">
        <v>2000000</v>
      </c>
      <c r="O29" s="4">
        <v>1</v>
      </c>
      <c r="P29" s="49" t="s">
        <v>281</v>
      </c>
      <c r="Q29" s="35" t="s">
        <v>282</v>
      </c>
      <c r="R29" s="13"/>
      <c r="S29" s="80">
        <v>0</v>
      </c>
      <c r="T29" s="80">
        <v>0.6</v>
      </c>
      <c r="U29" s="80">
        <v>0.4</v>
      </c>
      <c r="V29" s="45">
        <v>0</v>
      </c>
      <c r="W29" s="123">
        <v>0</v>
      </c>
      <c r="X29" s="2">
        <v>0</v>
      </c>
      <c r="Y29" s="123">
        <v>1</v>
      </c>
      <c r="Z29" s="81">
        <v>0</v>
      </c>
      <c r="AA29" s="14">
        <v>1</v>
      </c>
      <c r="AB29" s="14">
        <v>0</v>
      </c>
      <c r="AC29" s="14">
        <v>0</v>
      </c>
      <c r="AD29" s="14">
        <v>0</v>
      </c>
      <c r="AE29" s="10">
        <v>0</v>
      </c>
      <c r="AF29" s="10">
        <v>0</v>
      </c>
      <c r="AG29" s="14">
        <v>0</v>
      </c>
      <c r="AH29" s="10">
        <v>0</v>
      </c>
      <c r="AI29" s="10">
        <v>1</v>
      </c>
      <c r="AJ29" s="10">
        <v>1</v>
      </c>
      <c r="AK29" s="10">
        <v>0</v>
      </c>
      <c r="AL29" s="15">
        <v>1</v>
      </c>
      <c r="AM29" s="15">
        <v>0</v>
      </c>
      <c r="AN29" s="15">
        <v>0</v>
      </c>
      <c r="AO29" s="98">
        <v>2</v>
      </c>
      <c r="AP29" s="15">
        <v>0</v>
      </c>
      <c r="AQ29" s="15">
        <v>0</v>
      </c>
      <c r="AR29" s="15">
        <v>0</v>
      </c>
      <c r="AS29" s="15">
        <v>0</v>
      </c>
      <c r="AT29" s="15">
        <v>0</v>
      </c>
      <c r="AU29" s="15">
        <v>0</v>
      </c>
      <c r="AV29" s="10">
        <v>5</v>
      </c>
      <c r="AW29" s="10">
        <v>0</v>
      </c>
      <c r="AX29" s="10">
        <v>0</v>
      </c>
      <c r="AY29" s="10">
        <v>0</v>
      </c>
      <c r="AZ29" s="10">
        <v>1</v>
      </c>
      <c r="BA29" s="2">
        <v>0</v>
      </c>
      <c r="BB29" s="10">
        <v>1</v>
      </c>
      <c r="BC29" s="10">
        <v>0</v>
      </c>
      <c r="BD29" s="10">
        <v>1</v>
      </c>
      <c r="BE29" s="10">
        <v>0</v>
      </c>
      <c r="BF29" s="10">
        <v>0</v>
      </c>
      <c r="BG29" s="10">
        <v>0</v>
      </c>
      <c r="BH29" s="10">
        <v>0</v>
      </c>
      <c r="BI29" s="10">
        <v>0</v>
      </c>
      <c r="BJ29" s="10">
        <v>1</v>
      </c>
      <c r="BK29" s="10">
        <v>0</v>
      </c>
      <c r="BL29" s="10">
        <v>0</v>
      </c>
      <c r="BM29" s="10">
        <v>0</v>
      </c>
      <c r="BN29" s="10">
        <v>1</v>
      </c>
      <c r="BO29" s="10">
        <v>0</v>
      </c>
      <c r="BP29" s="10">
        <v>0</v>
      </c>
      <c r="BQ29" s="10">
        <v>0</v>
      </c>
      <c r="BR29" s="45">
        <v>1</v>
      </c>
      <c r="BS29" s="20">
        <v>0</v>
      </c>
      <c r="BT29" s="48">
        <v>1</v>
      </c>
      <c r="BU29" s="20">
        <v>0</v>
      </c>
      <c r="BV29" s="20">
        <v>0</v>
      </c>
      <c r="BW29" s="82" t="s">
        <v>283</v>
      </c>
      <c r="BX29" s="21"/>
      <c r="CB29" s="2">
        <f t="shared" si="0"/>
        <v>1</v>
      </c>
      <c r="CC29" s="2">
        <f t="shared" si="1"/>
        <v>1</v>
      </c>
      <c r="CD29" s="2">
        <f t="shared" si="2"/>
        <v>0</v>
      </c>
      <c r="CE29" s="2">
        <f t="shared" si="3"/>
        <v>30</v>
      </c>
      <c r="CF29" s="2" t="str" cm="1">
        <f t="array" ref="CF29">+_xlfn.IFS(Tabell2[[#This Row],[EPD/Miljødeklarasjon - som krav, tildelingskriterium, kontraktsvilkår eller dokumentasjon]]=2,"Ja",Tabell2[[#This Row],[Bærekraftig trevirke/skogbruk - tømmerforordningen, FSC eller PEFC ]]=2,"Ja",Tabell2[[#This Row],[Krav til kvalitet / EN standarder/henvisning til Norsk møbelfakta]]=2,"Ja",Tabell2[[#This Row],[Robuste møbeltekstiler/ kvalitet på møbeltrekk]]=2,"Ja",Tabell2[[#This Row],[Design for lang levetid (Demontering, Reservedeler, produktinformasjon om montering og vedlikehold)]]=2,"Ja",Tabell2[[#This Row],[Merking av plast]]=2,"Ja",Tabell2[[#This Row],[Vask og rengjøring av møbler]]=2,"Ja",Tabell2[[#This Row],[Emballasjen skal være resirkulerbar/ gjenbrukbar (kravet om miljøvennelig emballasje)]]=2,"Ja",Tabell2[[#This Row],[Emballasje (retur- grønt punkt, gjenvinning) (kravet om gjenvinnbar emballasje)]]=2,"Ja",Tabell2[[#This Row],[Kjemikalietabellen (unngå skadelige kjemikaler)]]=2,"Ja",Tabell2[[#This Row],[Flammehemmere]]=2,"Ja",Tabell2[[#This Row],[PVC]]=2,"Ja",Tabell2[[#This Row],[Sosiale hensyn og menneske-rettigheter er inkludert]]=2,"Ja")</f>
        <v>Ja</v>
      </c>
    </row>
    <row r="30" spans="1:84" s="2" customFormat="1" ht="14.45" customHeight="1" x14ac:dyDescent="0.25">
      <c r="A30" s="10">
        <v>2021</v>
      </c>
      <c r="B30" s="10" t="s">
        <v>285</v>
      </c>
      <c r="C30" s="60">
        <v>44346</v>
      </c>
      <c r="D30" s="37" t="s">
        <v>286</v>
      </c>
      <c r="E30" s="61">
        <v>964981892</v>
      </c>
      <c r="F30" s="36" t="s">
        <v>287</v>
      </c>
      <c r="G30" s="69" t="s">
        <v>137</v>
      </c>
      <c r="H30" s="36" t="s">
        <v>99</v>
      </c>
      <c r="I30" s="4">
        <v>39000000</v>
      </c>
      <c r="J30" s="10" t="s">
        <v>81</v>
      </c>
      <c r="K30" s="4" t="s">
        <v>75</v>
      </c>
      <c r="L30" s="21" t="s">
        <v>82</v>
      </c>
      <c r="M30" s="4">
        <v>0</v>
      </c>
      <c r="N30" s="76">
        <v>3000000</v>
      </c>
      <c r="O30" s="4">
        <v>1</v>
      </c>
      <c r="P30" s="49" t="s">
        <v>288</v>
      </c>
      <c r="Q30" s="35" t="s">
        <v>289</v>
      </c>
      <c r="R30" s="13"/>
      <c r="S30" s="80">
        <v>0.2</v>
      </c>
      <c r="T30" s="80">
        <v>0.6</v>
      </c>
      <c r="U30" s="80">
        <v>0.19999999999999996</v>
      </c>
      <c r="V30" s="45">
        <v>1</v>
      </c>
      <c r="W30" s="123">
        <v>0</v>
      </c>
      <c r="X30" s="2">
        <v>0</v>
      </c>
      <c r="Y30" s="123">
        <v>0</v>
      </c>
      <c r="Z30" s="43">
        <v>0</v>
      </c>
      <c r="AA30" s="17">
        <v>1</v>
      </c>
      <c r="AB30" s="17">
        <v>0</v>
      </c>
      <c r="AC30" s="17">
        <v>0</v>
      </c>
      <c r="AD30" s="17">
        <v>0</v>
      </c>
      <c r="AE30" s="10">
        <v>0</v>
      </c>
      <c r="AF30" s="10">
        <v>0</v>
      </c>
      <c r="AG30" s="14">
        <v>0</v>
      </c>
      <c r="AH30" s="10">
        <v>0</v>
      </c>
      <c r="AI30" s="10">
        <v>0</v>
      </c>
      <c r="AJ30" s="10">
        <v>1</v>
      </c>
      <c r="AK30" s="10">
        <v>1</v>
      </c>
      <c r="AL30" s="15">
        <v>1</v>
      </c>
      <c r="AM30" s="15">
        <v>0</v>
      </c>
      <c r="AN30" s="15">
        <v>0</v>
      </c>
      <c r="AO30" s="98">
        <v>1</v>
      </c>
      <c r="AP30" s="15">
        <v>0</v>
      </c>
      <c r="AQ30" s="15">
        <v>0</v>
      </c>
      <c r="AR30" s="15">
        <v>0</v>
      </c>
      <c r="AS30" s="15">
        <v>0</v>
      </c>
      <c r="AT30" s="15">
        <v>0</v>
      </c>
      <c r="AU30" s="15">
        <v>0</v>
      </c>
      <c r="AV30" s="10">
        <v>5</v>
      </c>
      <c r="AW30" s="10">
        <v>1</v>
      </c>
      <c r="AX30" s="10">
        <v>0</v>
      </c>
      <c r="AY30" s="10">
        <v>0</v>
      </c>
      <c r="AZ30" s="10">
        <v>0</v>
      </c>
      <c r="BA30" s="2">
        <v>0</v>
      </c>
      <c r="BB30" s="10">
        <v>0</v>
      </c>
      <c r="BC30" s="10">
        <v>1</v>
      </c>
      <c r="BD30" s="10">
        <v>1</v>
      </c>
      <c r="BE30" s="10">
        <v>0</v>
      </c>
      <c r="BF30" s="10">
        <v>1</v>
      </c>
      <c r="BG30" s="10">
        <v>0</v>
      </c>
      <c r="BH30" s="10">
        <v>0</v>
      </c>
      <c r="BI30" s="10">
        <v>0</v>
      </c>
      <c r="BJ30" s="10">
        <v>0</v>
      </c>
      <c r="BK30" s="10">
        <v>0</v>
      </c>
      <c r="BL30" s="10">
        <v>0</v>
      </c>
      <c r="BM30" s="10">
        <v>0</v>
      </c>
      <c r="BN30" s="10">
        <v>0</v>
      </c>
      <c r="BO30" s="10">
        <v>0</v>
      </c>
      <c r="BP30" s="10">
        <v>0</v>
      </c>
      <c r="BQ30" s="10">
        <v>0</v>
      </c>
      <c r="BR30" s="45">
        <v>2</v>
      </c>
      <c r="BS30" s="20">
        <v>0</v>
      </c>
      <c r="BT30" s="48">
        <v>1</v>
      </c>
      <c r="BU30" s="20">
        <v>0</v>
      </c>
      <c r="BV30" s="20">
        <v>0</v>
      </c>
      <c r="BW30" s="82" t="s">
        <v>290</v>
      </c>
      <c r="BX30" s="21"/>
      <c r="CB30" s="2">
        <f t="shared" si="0"/>
        <v>1</v>
      </c>
      <c r="CC30" s="2">
        <f t="shared" si="1"/>
        <v>1</v>
      </c>
      <c r="CD30" s="2">
        <f t="shared" si="2"/>
        <v>0</v>
      </c>
      <c r="CE30" s="2">
        <f t="shared" si="3"/>
        <v>31</v>
      </c>
      <c r="CF30" s="2" t="str" cm="1">
        <f t="array" ref="CF30">+_xlfn.IFS(Tabell2[[#This Row],[EPD/Miljødeklarasjon - som krav, tildelingskriterium, kontraktsvilkår eller dokumentasjon]]=2,"Ja",Tabell2[[#This Row],[Bærekraftig trevirke/skogbruk - tømmerforordningen, FSC eller PEFC ]]=2,"Ja",Tabell2[[#This Row],[Krav til kvalitet / EN standarder/henvisning til Norsk møbelfakta]]=2,"Ja",Tabell2[[#This Row],[Robuste møbeltekstiler/ kvalitet på møbeltrekk]]=2,"Ja",Tabell2[[#This Row],[Design for lang levetid (Demontering, Reservedeler, produktinformasjon om montering og vedlikehold)]]=2,"Ja",Tabell2[[#This Row],[Merking av plast]]=2,"Ja",Tabell2[[#This Row],[Vask og rengjøring av møbler]]=2,"Ja",Tabell2[[#This Row],[Emballasjen skal være resirkulerbar/ gjenbrukbar (kravet om miljøvennelig emballasje)]]=2,"Ja",Tabell2[[#This Row],[Emballasje (retur- grønt punkt, gjenvinning) (kravet om gjenvinnbar emballasje)]]=2,"Ja",Tabell2[[#This Row],[Kjemikalietabellen (unngå skadelige kjemikaler)]]=2,"Ja",Tabell2[[#This Row],[Flammehemmere]]=2,"Ja",Tabell2[[#This Row],[PVC]]=2,"Ja",Tabell2[[#This Row],[Sosiale hensyn og menneske-rettigheter er inkludert]]=2,"Ja")</f>
        <v>Ja</v>
      </c>
    </row>
    <row r="31" spans="1:84" s="2" customFormat="1" ht="14.45" customHeight="1" x14ac:dyDescent="0.25">
      <c r="A31" s="10">
        <v>2021</v>
      </c>
      <c r="B31" s="10" t="s">
        <v>301</v>
      </c>
      <c r="C31" s="60">
        <v>44338</v>
      </c>
      <c r="D31" s="37" t="s">
        <v>302</v>
      </c>
      <c r="E31" s="61">
        <v>922420866</v>
      </c>
      <c r="F31" s="36" t="s">
        <v>303</v>
      </c>
      <c r="G31" s="69" t="s">
        <v>222</v>
      </c>
      <c r="H31" s="36" t="s">
        <v>130</v>
      </c>
      <c r="I31" s="4">
        <v>39130000</v>
      </c>
      <c r="J31" s="10" t="s">
        <v>81</v>
      </c>
      <c r="K31" s="4" t="s">
        <v>75</v>
      </c>
      <c r="L31" s="21" t="s">
        <v>82</v>
      </c>
      <c r="M31" s="4">
        <v>0</v>
      </c>
      <c r="N31" s="76">
        <v>2400000</v>
      </c>
      <c r="O31" s="4">
        <v>1</v>
      </c>
      <c r="P31" s="49" t="s">
        <v>304</v>
      </c>
      <c r="Q31" s="35" t="s">
        <v>305</v>
      </c>
      <c r="R31" s="13"/>
      <c r="S31" s="80">
        <v>0</v>
      </c>
      <c r="T31" s="80">
        <v>1</v>
      </c>
      <c r="U31" s="80">
        <v>0</v>
      </c>
      <c r="V31" s="45">
        <v>0</v>
      </c>
      <c r="W31" s="123">
        <v>0</v>
      </c>
      <c r="X31" s="2">
        <v>0</v>
      </c>
      <c r="Y31" s="123">
        <v>0</v>
      </c>
      <c r="Z31" s="43">
        <v>0</v>
      </c>
      <c r="AA31" s="17">
        <v>1</v>
      </c>
      <c r="AB31" s="17">
        <v>0</v>
      </c>
      <c r="AC31" s="17">
        <v>1</v>
      </c>
      <c r="AD31" s="17">
        <v>0</v>
      </c>
      <c r="AE31" s="10">
        <v>0</v>
      </c>
      <c r="AF31" s="10">
        <v>0</v>
      </c>
      <c r="AG31" s="14">
        <v>0</v>
      </c>
      <c r="AH31" s="10">
        <v>0</v>
      </c>
      <c r="AI31" s="10">
        <v>0</v>
      </c>
      <c r="AJ31" s="10">
        <v>0</v>
      </c>
      <c r="AK31" s="10">
        <v>1</v>
      </c>
      <c r="AL31" s="15">
        <v>1</v>
      </c>
      <c r="AM31" s="15">
        <v>0</v>
      </c>
      <c r="AN31" s="15">
        <v>0</v>
      </c>
      <c r="AO31" s="98">
        <v>1</v>
      </c>
      <c r="AP31" s="15">
        <v>0</v>
      </c>
      <c r="AQ31" s="15">
        <v>0</v>
      </c>
      <c r="AR31" s="15">
        <v>0</v>
      </c>
      <c r="AS31" s="15">
        <v>0</v>
      </c>
      <c r="AT31" s="15">
        <v>0</v>
      </c>
      <c r="AU31" s="15">
        <v>0</v>
      </c>
      <c r="AV31" s="10" t="s">
        <v>93</v>
      </c>
      <c r="AW31" s="10">
        <v>1</v>
      </c>
      <c r="AX31" s="10">
        <v>0</v>
      </c>
      <c r="AY31" s="10">
        <v>0</v>
      </c>
      <c r="AZ31" s="10">
        <v>1</v>
      </c>
      <c r="BA31" s="2">
        <v>1</v>
      </c>
      <c r="BB31" s="10">
        <v>1</v>
      </c>
      <c r="BC31" s="10">
        <v>0</v>
      </c>
      <c r="BD31" s="10">
        <v>1</v>
      </c>
      <c r="BE31" s="10">
        <v>0</v>
      </c>
      <c r="BF31" s="10">
        <v>1</v>
      </c>
      <c r="BG31" s="10">
        <v>0</v>
      </c>
      <c r="BH31" s="10">
        <v>0</v>
      </c>
      <c r="BI31" s="10">
        <v>0</v>
      </c>
      <c r="BJ31" s="10">
        <v>0</v>
      </c>
      <c r="BK31" s="10">
        <v>0</v>
      </c>
      <c r="BL31" s="10">
        <v>0</v>
      </c>
      <c r="BM31" s="10">
        <v>0</v>
      </c>
      <c r="BN31" s="10">
        <v>0</v>
      </c>
      <c r="BO31" s="10">
        <v>0</v>
      </c>
      <c r="BP31" s="10">
        <v>0</v>
      </c>
      <c r="BQ31" s="10">
        <v>0</v>
      </c>
      <c r="BR31" s="45">
        <v>0</v>
      </c>
      <c r="BS31" s="20">
        <v>0</v>
      </c>
      <c r="BT31" s="48">
        <v>0</v>
      </c>
      <c r="BU31" s="20">
        <v>0</v>
      </c>
      <c r="BV31" s="20">
        <v>0</v>
      </c>
      <c r="BW31" s="82" t="s">
        <v>93</v>
      </c>
      <c r="BX31" s="21"/>
      <c r="CB31" s="2">
        <f t="shared" si="0"/>
        <v>1</v>
      </c>
      <c r="CC31" s="2">
        <f t="shared" si="1"/>
        <v>1</v>
      </c>
      <c r="CD31" s="2">
        <f t="shared" si="2"/>
        <v>0</v>
      </c>
      <c r="CE31" s="2">
        <f t="shared" si="3"/>
        <v>32</v>
      </c>
      <c r="CF31" s="2" t="e" cm="1">
        <f t="array" ref="CF31">+_xlfn.IFS(Tabell2[[#This Row],[EPD/Miljødeklarasjon - som krav, tildelingskriterium, kontraktsvilkår eller dokumentasjon]]=2,"Ja",Tabell2[[#This Row],[Bærekraftig trevirke/skogbruk - tømmerforordningen, FSC eller PEFC ]]=2,"Ja",Tabell2[[#This Row],[Krav til kvalitet / EN standarder/henvisning til Norsk møbelfakta]]=2,"Ja",Tabell2[[#This Row],[Robuste møbeltekstiler/ kvalitet på møbeltrekk]]=2,"Ja",Tabell2[[#This Row],[Design for lang levetid (Demontering, Reservedeler, produktinformasjon om montering og vedlikehold)]]=2,"Ja",Tabell2[[#This Row],[Merking av plast]]=2,"Ja",Tabell2[[#This Row],[Vask og rengjøring av møbler]]=2,"Ja",Tabell2[[#This Row],[Emballasjen skal være resirkulerbar/ gjenbrukbar (kravet om miljøvennelig emballasje)]]=2,"Ja",Tabell2[[#This Row],[Emballasje (retur- grønt punkt, gjenvinning) (kravet om gjenvinnbar emballasje)]]=2,"Ja",Tabell2[[#This Row],[Kjemikalietabellen (unngå skadelige kjemikaler)]]=2,"Ja",Tabell2[[#This Row],[Flammehemmere]]=2,"Ja",Tabell2[[#This Row],[PVC]]=2,"Ja",Tabell2[[#This Row],[Sosiale hensyn og menneske-rettigheter er inkludert]]=2,"Ja")</f>
        <v>#N/A</v>
      </c>
    </row>
    <row r="32" spans="1:84" s="2" customFormat="1" ht="14.45" customHeight="1" x14ac:dyDescent="0.25">
      <c r="A32" s="10">
        <v>2021</v>
      </c>
      <c r="B32" s="10" t="s">
        <v>306</v>
      </c>
      <c r="C32" s="60">
        <v>44518</v>
      </c>
      <c r="D32" s="37" t="s">
        <v>302</v>
      </c>
      <c r="E32" s="61">
        <v>922420866</v>
      </c>
      <c r="F32" s="36" t="s">
        <v>307</v>
      </c>
      <c r="G32" s="69" t="s">
        <v>222</v>
      </c>
      <c r="H32" s="36" t="s">
        <v>130</v>
      </c>
      <c r="I32" s="4">
        <v>39130000</v>
      </c>
      <c r="J32" s="10" t="s">
        <v>81</v>
      </c>
      <c r="K32" s="4" t="s">
        <v>75</v>
      </c>
      <c r="L32" s="21" t="s">
        <v>308</v>
      </c>
      <c r="M32" s="4">
        <v>0</v>
      </c>
      <c r="N32" s="76">
        <v>150000</v>
      </c>
      <c r="O32" s="4">
        <v>1</v>
      </c>
      <c r="P32" s="49" t="s">
        <v>309</v>
      </c>
      <c r="Q32" s="35" t="s">
        <v>305</v>
      </c>
      <c r="R32" s="13"/>
      <c r="S32" s="80">
        <v>0</v>
      </c>
      <c r="T32" s="80">
        <v>0.85</v>
      </c>
      <c r="U32" s="80">
        <v>0.15000000000000002</v>
      </c>
      <c r="V32" s="45">
        <v>0</v>
      </c>
      <c r="W32" s="123">
        <v>0</v>
      </c>
      <c r="X32" s="2">
        <v>0</v>
      </c>
      <c r="Y32" s="123">
        <v>0</v>
      </c>
      <c r="Z32" s="43">
        <v>0</v>
      </c>
      <c r="AA32" s="17">
        <v>1</v>
      </c>
      <c r="AB32" s="17">
        <v>0</v>
      </c>
      <c r="AC32" s="17">
        <v>0</v>
      </c>
      <c r="AD32" s="17">
        <v>0</v>
      </c>
      <c r="AE32" s="10">
        <v>0</v>
      </c>
      <c r="AF32" s="10">
        <v>0</v>
      </c>
      <c r="AG32" s="14">
        <v>0</v>
      </c>
      <c r="AH32" s="10">
        <v>0</v>
      </c>
      <c r="AI32" s="10">
        <v>0</v>
      </c>
      <c r="AJ32" s="10">
        <v>0</v>
      </c>
      <c r="AK32" s="10">
        <v>1</v>
      </c>
      <c r="AL32" s="15">
        <v>0</v>
      </c>
      <c r="AM32" s="15">
        <v>0</v>
      </c>
      <c r="AN32" s="15">
        <v>0</v>
      </c>
      <c r="AO32" s="98">
        <v>1</v>
      </c>
      <c r="AP32" s="15">
        <v>0</v>
      </c>
      <c r="AQ32" s="15">
        <v>0</v>
      </c>
      <c r="AR32" s="15">
        <v>0</v>
      </c>
      <c r="AS32" s="15">
        <v>0</v>
      </c>
      <c r="AT32" s="15">
        <v>0</v>
      </c>
      <c r="AU32" s="15">
        <v>0</v>
      </c>
      <c r="AV32" s="10">
        <v>2</v>
      </c>
      <c r="AW32" s="10">
        <v>1</v>
      </c>
      <c r="AX32" s="10">
        <v>0</v>
      </c>
      <c r="AY32" s="10">
        <v>0</v>
      </c>
      <c r="AZ32" s="10">
        <v>1</v>
      </c>
      <c r="BA32" s="2">
        <v>1</v>
      </c>
      <c r="BB32" s="10">
        <v>1</v>
      </c>
      <c r="BC32" s="10">
        <v>0</v>
      </c>
      <c r="BD32" s="10">
        <v>0</v>
      </c>
      <c r="BE32" s="10">
        <v>0</v>
      </c>
      <c r="BF32" s="10">
        <v>0</v>
      </c>
      <c r="BG32" s="10">
        <v>0</v>
      </c>
      <c r="BH32" s="10">
        <v>0</v>
      </c>
      <c r="BI32" s="10">
        <v>0</v>
      </c>
      <c r="BJ32" s="10">
        <v>0</v>
      </c>
      <c r="BK32" s="10">
        <v>0</v>
      </c>
      <c r="BL32" s="10">
        <v>0</v>
      </c>
      <c r="BM32" s="10">
        <v>0</v>
      </c>
      <c r="BN32" s="10">
        <v>0</v>
      </c>
      <c r="BO32" s="10">
        <v>0</v>
      </c>
      <c r="BP32" s="10">
        <v>0</v>
      </c>
      <c r="BQ32" s="10">
        <v>0</v>
      </c>
      <c r="BR32" s="45">
        <v>1</v>
      </c>
      <c r="BS32" s="20">
        <v>0</v>
      </c>
      <c r="BT32" s="48">
        <v>1</v>
      </c>
      <c r="BU32" s="20">
        <v>0</v>
      </c>
      <c r="BV32" s="20">
        <v>0</v>
      </c>
      <c r="BW32" s="82" t="s">
        <v>310</v>
      </c>
      <c r="BX32" s="21"/>
      <c r="CB32" s="2">
        <f t="shared" si="0"/>
        <v>1</v>
      </c>
      <c r="CC32" s="2">
        <f t="shared" si="1"/>
        <v>1</v>
      </c>
      <c r="CD32" s="2">
        <f t="shared" si="2"/>
        <v>0</v>
      </c>
      <c r="CE32" s="2">
        <f t="shared" si="3"/>
        <v>33</v>
      </c>
      <c r="CF32" s="2" t="e" cm="1">
        <f t="array" ref="CF32">+_xlfn.IFS(Tabell2[[#This Row],[EPD/Miljødeklarasjon - som krav, tildelingskriterium, kontraktsvilkår eller dokumentasjon]]=2,"Ja",Tabell2[[#This Row],[Bærekraftig trevirke/skogbruk - tømmerforordningen, FSC eller PEFC ]]=2,"Ja",Tabell2[[#This Row],[Krav til kvalitet / EN standarder/henvisning til Norsk møbelfakta]]=2,"Ja",Tabell2[[#This Row],[Robuste møbeltekstiler/ kvalitet på møbeltrekk]]=2,"Ja",Tabell2[[#This Row],[Design for lang levetid (Demontering, Reservedeler, produktinformasjon om montering og vedlikehold)]]=2,"Ja",Tabell2[[#This Row],[Merking av plast]]=2,"Ja",Tabell2[[#This Row],[Vask og rengjøring av møbler]]=2,"Ja",Tabell2[[#This Row],[Emballasjen skal være resirkulerbar/ gjenbrukbar (kravet om miljøvennelig emballasje)]]=2,"Ja",Tabell2[[#This Row],[Emballasje (retur- grønt punkt, gjenvinning) (kravet om gjenvinnbar emballasje)]]=2,"Ja",Tabell2[[#This Row],[Kjemikalietabellen (unngå skadelige kjemikaler)]]=2,"Ja",Tabell2[[#This Row],[Flammehemmere]]=2,"Ja",Tabell2[[#This Row],[PVC]]=2,"Ja",Tabell2[[#This Row],[Sosiale hensyn og menneske-rettigheter er inkludert]]=2,"Ja")</f>
        <v>#N/A</v>
      </c>
    </row>
    <row r="33" spans="1:84" s="2" customFormat="1" ht="14.45" customHeight="1" x14ac:dyDescent="0.25">
      <c r="A33" s="10">
        <v>2021</v>
      </c>
      <c r="B33" s="10" t="s">
        <v>346</v>
      </c>
      <c r="C33" s="60">
        <v>44271</v>
      </c>
      <c r="D33" s="37" t="s">
        <v>347</v>
      </c>
      <c r="E33" s="61">
        <v>845152012</v>
      </c>
      <c r="F33" s="36" t="s">
        <v>348</v>
      </c>
      <c r="G33" s="69" t="s">
        <v>117</v>
      </c>
      <c r="H33" s="36" t="s">
        <v>99</v>
      </c>
      <c r="I33" s="4">
        <v>39000000</v>
      </c>
      <c r="J33" s="10" t="s">
        <v>81</v>
      </c>
      <c r="K33" s="4" t="s">
        <v>75</v>
      </c>
      <c r="L33" s="21" t="s">
        <v>81</v>
      </c>
      <c r="M33" s="4">
        <v>0</v>
      </c>
      <c r="N33" s="76">
        <v>1100000</v>
      </c>
      <c r="O33" s="4">
        <v>1</v>
      </c>
      <c r="P33" s="49" t="s">
        <v>349</v>
      </c>
      <c r="Q33" s="35" t="s">
        <v>350</v>
      </c>
      <c r="R33" s="13"/>
      <c r="S33" s="80">
        <v>0</v>
      </c>
      <c r="T33" s="80">
        <v>0.6</v>
      </c>
      <c r="U33" s="80">
        <v>0.4</v>
      </c>
      <c r="V33" s="45">
        <v>0</v>
      </c>
      <c r="W33" s="123">
        <v>0</v>
      </c>
      <c r="X33" s="2">
        <v>0</v>
      </c>
      <c r="Y33" s="123">
        <v>0</v>
      </c>
      <c r="Z33" s="43">
        <v>0</v>
      </c>
      <c r="AA33" s="17">
        <v>0</v>
      </c>
      <c r="AB33" s="17">
        <v>0</v>
      </c>
      <c r="AC33" s="17">
        <v>0</v>
      </c>
      <c r="AD33" s="17">
        <v>0</v>
      </c>
      <c r="AE33" s="10">
        <v>0</v>
      </c>
      <c r="AF33" s="10">
        <v>0</v>
      </c>
      <c r="AG33" s="14">
        <v>0</v>
      </c>
      <c r="AH33" s="10">
        <v>0</v>
      </c>
      <c r="AI33" s="10">
        <v>0</v>
      </c>
      <c r="AJ33" s="10">
        <v>0</v>
      </c>
      <c r="AK33" s="10">
        <v>0</v>
      </c>
      <c r="AL33" s="15">
        <v>1</v>
      </c>
      <c r="AM33" s="15">
        <v>0</v>
      </c>
      <c r="AN33" s="15">
        <v>0</v>
      </c>
      <c r="AO33" s="98">
        <v>0</v>
      </c>
      <c r="AP33" s="15">
        <v>0</v>
      </c>
      <c r="AQ33" s="15">
        <v>0</v>
      </c>
      <c r="AR33" s="15">
        <v>0</v>
      </c>
      <c r="AS33" s="15">
        <v>0</v>
      </c>
      <c r="AT33" s="15">
        <v>0</v>
      </c>
      <c r="AU33" s="15">
        <v>0</v>
      </c>
      <c r="AV33" s="10">
        <v>0</v>
      </c>
      <c r="AW33" s="10">
        <v>0</v>
      </c>
      <c r="AX33" s="10">
        <v>0</v>
      </c>
      <c r="AY33" s="10">
        <v>0</v>
      </c>
      <c r="AZ33" s="10">
        <v>0</v>
      </c>
      <c r="BA33" s="2">
        <v>0</v>
      </c>
      <c r="BB33" s="10">
        <v>0</v>
      </c>
      <c r="BC33" s="10">
        <v>0</v>
      </c>
      <c r="BD33" s="10">
        <v>0</v>
      </c>
      <c r="BE33" s="10">
        <v>0</v>
      </c>
      <c r="BF33" s="10">
        <v>0</v>
      </c>
      <c r="BG33" s="10">
        <v>0</v>
      </c>
      <c r="BH33" s="10">
        <v>0</v>
      </c>
      <c r="BI33" s="10">
        <v>0</v>
      </c>
      <c r="BJ33" s="10">
        <v>0</v>
      </c>
      <c r="BK33" s="10">
        <v>0</v>
      </c>
      <c r="BL33" s="10">
        <v>0</v>
      </c>
      <c r="BM33" s="10">
        <v>0</v>
      </c>
      <c r="BN33" s="10">
        <v>0</v>
      </c>
      <c r="BO33" s="10">
        <v>0</v>
      </c>
      <c r="BP33" s="10">
        <v>0</v>
      </c>
      <c r="BQ33" s="10">
        <v>0</v>
      </c>
      <c r="BR33" s="10">
        <v>0</v>
      </c>
      <c r="BS33" s="20">
        <v>0</v>
      </c>
      <c r="BT33" s="20">
        <v>0</v>
      </c>
      <c r="BU33" s="20">
        <v>0</v>
      </c>
      <c r="BV33" s="20">
        <v>0</v>
      </c>
      <c r="BW33" s="82" t="s">
        <v>93</v>
      </c>
      <c r="BX33" s="21" t="s">
        <v>351</v>
      </c>
      <c r="CB33" s="2">
        <f t="shared" si="0"/>
        <v>1</v>
      </c>
      <c r="CC33" s="2">
        <f t="shared" si="1"/>
        <v>1</v>
      </c>
      <c r="CD33" s="2">
        <f t="shared" si="2"/>
        <v>0</v>
      </c>
      <c r="CE33" s="2">
        <f t="shared" si="3"/>
        <v>34</v>
      </c>
      <c r="CF33" s="2" t="e" cm="1">
        <f t="array" ref="CF33">+_xlfn.IFS(Tabell2[[#This Row],[EPD/Miljødeklarasjon - som krav, tildelingskriterium, kontraktsvilkår eller dokumentasjon]]=2,"Ja",Tabell2[[#This Row],[Bærekraftig trevirke/skogbruk - tømmerforordningen, FSC eller PEFC ]]=2,"Ja",Tabell2[[#This Row],[Krav til kvalitet / EN standarder/henvisning til Norsk møbelfakta]]=2,"Ja",Tabell2[[#This Row],[Robuste møbeltekstiler/ kvalitet på møbeltrekk]]=2,"Ja",Tabell2[[#This Row],[Design for lang levetid (Demontering, Reservedeler, produktinformasjon om montering og vedlikehold)]]=2,"Ja",Tabell2[[#This Row],[Merking av plast]]=2,"Ja",Tabell2[[#This Row],[Vask og rengjøring av møbler]]=2,"Ja",Tabell2[[#This Row],[Emballasjen skal være resirkulerbar/ gjenbrukbar (kravet om miljøvennelig emballasje)]]=2,"Ja",Tabell2[[#This Row],[Emballasje (retur- grønt punkt, gjenvinning) (kravet om gjenvinnbar emballasje)]]=2,"Ja",Tabell2[[#This Row],[Kjemikalietabellen (unngå skadelige kjemikaler)]]=2,"Ja",Tabell2[[#This Row],[Flammehemmere]]=2,"Ja",Tabell2[[#This Row],[PVC]]=2,"Ja",Tabell2[[#This Row],[Sosiale hensyn og menneske-rettigheter er inkludert]]=2,"Ja")</f>
        <v>#N/A</v>
      </c>
    </row>
    <row r="34" spans="1:84" s="2" customFormat="1" ht="14.45" customHeight="1" x14ac:dyDescent="0.25">
      <c r="A34" s="10">
        <v>2021</v>
      </c>
      <c r="B34" s="10" t="s">
        <v>107</v>
      </c>
      <c r="C34" s="60">
        <v>44301</v>
      </c>
      <c r="D34" s="37" t="s">
        <v>108</v>
      </c>
      <c r="E34" s="61">
        <v>964338531</v>
      </c>
      <c r="F34" s="36" t="s">
        <v>109</v>
      </c>
      <c r="G34" s="69" t="s">
        <v>98</v>
      </c>
      <c r="H34" s="36" t="s">
        <v>99</v>
      </c>
      <c r="I34" s="4">
        <v>39100000</v>
      </c>
      <c r="J34" s="10">
        <v>0</v>
      </c>
      <c r="K34" s="4" t="s">
        <v>75</v>
      </c>
      <c r="L34" s="21" t="s">
        <v>82</v>
      </c>
      <c r="M34" s="4">
        <v>1</v>
      </c>
      <c r="N34" s="76">
        <v>800000</v>
      </c>
      <c r="O34" s="4">
        <v>1</v>
      </c>
      <c r="P34" s="49" t="s">
        <v>110</v>
      </c>
      <c r="Q34" s="35" t="s">
        <v>111</v>
      </c>
      <c r="R34" s="13"/>
      <c r="S34" s="80">
        <v>0.2</v>
      </c>
      <c r="T34" s="80">
        <v>0.4</v>
      </c>
      <c r="U34" s="80">
        <v>0.39999999999999991</v>
      </c>
      <c r="V34" s="45">
        <v>1</v>
      </c>
      <c r="W34" s="123">
        <v>1</v>
      </c>
      <c r="X34" s="2">
        <v>0</v>
      </c>
      <c r="Y34" s="123">
        <v>1</v>
      </c>
      <c r="Z34" s="81">
        <v>1</v>
      </c>
      <c r="AA34" s="14">
        <v>1</v>
      </c>
      <c r="AB34" s="14">
        <v>0</v>
      </c>
      <c r="AC34" s="14">
        <v>0</v>
      </c>
      <c r="AD34" s="14">
        <v>0</v>
      </c>
      <c r="AE34" s="10">
        <v>1</v>
      </c>
      <c r="AF34" s="10">
        <v>0</v>
      </c>
      <c r="AG34" s="14">
        <v>1</v>
      </c>
      <c r="AH34" s="10">
        <v>1</v>
      </c>
      <c r="AI34" s="10">
        <v>0</v>
      </c>
      <c r="AJ34" s="10">
        <v>1</v>
      </c>
      <c r="AK34" s="10">
        <v>2</v>
      </c>
      <c r="AL34" s="15">
        <v>2</v>
      </c>
      <c r="AM34" s="15">
        <v>0</v>
      </c>
      <c r="AN34" s="15">
        <v>0</v>
      </c>
      <c r="AO34" s="98">
        <v>2</v>
      </c>
      <c r="AP34" s="15">
        <v>0</v>
      </c>
      <c r="AQ34" s="15">
        <v>0</v>
      </c>
      <c r="AR34" s="15">
        <v>0</v>
      </c>
      <c r="AS34" s="15">
        <v>0</v>
      </c>
      <c r="AT34" s="15">
        <v>1</v>
      </c>
      <c r="AU34" s="15">
        <v>0</v>
      </c>
      <c r="AV34" s="10">
        <v>2</v>
      </c>
      <c r="AW34" s="10">
        <v>1</v>
      </c>
      <c r="AX34" s="10">
        <v>0</v>
      </c>
      <c r="AY34" s="10">
        <v>0</v>
      </c>
      <c r="AZ34" s="10">
        <v>1</v>
      </c>
      <c r="BA34" s="2">
        <v>1</v>
      </c>
      <c r="BB34" s="10">
        <v>2</v>
      </c>
      <c r="BC34" s="10">
        <v>2</v>
      </c>
      <c r="BD34" s="10">
        <v>1</v>
      </c>
      <c r="BE34" s="10">
        <v>1</v>
      </c>
      <c r="BF34" s="10">
        <v>1</v>
      </c>
      <c r="BG34" s="10">
        <v>1</v>
      </c>
      <c r="BH34" s="10">
        <v>0</v>
      </c>
      <c r="BI34" s="10">
        <v>0</v>
      </c>
      <c r="BJ34" s="10">
        <v>2</v>
      </c>
      <c r="BK34" s="10">
        <v>1</v>
      </c>
      <c r="BL34" s="10">
        <v>0</v>
      </c>
      <c r="BM34" s="10">
        <v>1</v>
      </c>
      <c r="BN34" s="10">
        <v>1</v>
      </c>
      <c r="BO34" s="10">
        <v>1</v>
      </c>
      <c r="BP34" s="10">
        <v>1</v>
      </c>
      <c r="BQ34" s="10">
        <v>0</v>
      </c>
      <c r="BR34" s="45">
        <v>2</v>
      </c>
      <c r="BS34" s="20">
        <v>0</v>
      </c>
      <c r="BT34" s="48">
        <v>1</v>
      </c>
      <c r="BU34" s="20">
        <v>1</v>
      </c>
      <c r="BV34" s="20">
        <v>0</v>
      </c>
      <c r="BW34" s="82" t="s">
        <v>112</v>
      </c>
      <c r="BX34" s="21"/>
      <c r="CB34" s="2">
        <f t="shared" si="0"/>
        <v>1</v>
      </c>
      <c r="CC34" s="2">
        <f t="shared" si="1"/>
        <v>1</v>
      </c>
      <c r="CD34" s="2">
        <f t="shared" si="2"/>
        <v>1</v>
      </c>
      <c r="CE34" s="2">
        <f t="shared" si="3"/>
        <v>35</v>
      </c>
      <c r="CF34" s="2" t="str" cm="1">
        <f t="array" ref="CF34">+_xlfn.IFS(Tabell2[[#This Row],[EPD/Miljødeklarasjon - som krav, tildelingskriterium, kontraktsvilkår eller dokumentasjon]]=2,"Ja",Tabell2[[#This Row],[Bærekraftig trevirke/skogbruk - tømmerforordningen, FSC eller PEFC ]]=2,"Ja",Tabell2[[#This Row],[Krav til kvalitet / EN standarder/henvisning til Norsk møbelfakta]]=2,"Ja",Tabell2[[#This Row],[Robuste møbeltekstiler/ kvalitet på møbeltrekk]]=2,"Ja",Tabell2[[#This Row],[Design for lang levetid (Demontering, Reservedeler, produktinformasjon om montering og vedlikehold)]]=2,"Ja",Tabell2[[#This Row],[Merking av plast]]=2,"Ja",Tabell2[[#This Row],[Vask og rengjøring av møbler]]=2,"Ja",Tabell2[[#This Row],[Emballasjen skal være resirkulerbar/ gjenbrukbar (kravet om miljøvennelig emballasje)]]=2,"Ja",Tabell2[[#This Row],[Emballasje (retur- grønt punkt, gjenvinning) (kravet om gjenvinnbar emballasje)]]=2,"Ja",Tabell2[[#This Row],[Kjemikalietabellen (unngå skadelige kjemikaler)]]=2,"Ja",Tabell2[[#This Row],[Flammehemmere]]=2,"Ja",Tabell2[[#This Row],[PVC]]=2,"Ja",Tabell2[[#This Row],[Sosiale hensyn og menneske-rettigheter er inkludert]]=2,"Ja")</f>
        <v>Ja</v>
      </c>
    </row>
    <row r="35" spans="1:84" s="2" customFormat="1" ht="14.45" customHeight="1" x14ac:dyDescent="0.25">
      <c r="A35" s="10">
        <v>2021</v>
      </c>
      <c r="B35" s="10" t="s">
        <v>142</v>
      </c>
      <c r="C35" s="60">
        <v>44275</v>
      </c>
      <c r="D35" s="41" t="s">
        <v>143</v>
      </c>
      <c r="E35" s="61">
        <v>997391853</v>
      </c>
      <c r="F35" s="39" t="s">
        <v>144</v>
      </c>
      <c r="G35" s="72" t="s">
        <v>145</v>
      </c>
      <c r="H35" s="39" t="s">
        <v>99</v>
      </c>
      <c r="I35" s="4">
        <v>39100000</v>
      </c>
      <c r="J35" s="10">
        <v>0</v>
      </c>
      <c r="K35" s="4" t="s">
        <v>75</v>
      </c>
      <c r="L35" s="21" t="s">
        <v>82</v>
      </c>
      <c r="M35" s="4">
        <v>1</v>
      </c>
      <c r="N35" s="76">
        <v>18000000</v>
      </c>
      <c r="O35" s="4">
        <v>1</v>
      </c>
      <c r="P35" s="50" t="s">
        <v>146</v>
      </c>
      <c r="Q35" s="35" t="s">
        <v>147</v>
      </c>
      <c r="R35" s="13"/>
      <c r="S35" s="80">
        <v>0.3</v>
      </c>
      <c r="T35" s="80">
        <v>0.5</v>
      </c>
      <c r="U35" s="80">
        <v>0.19999999999999996</v>
      </c>
      <c r="V35" s="45">
        <v>1</v>
      </c>
      <c r="W35" s="123">
        <v>1</v>
      </c>
      <c r="X35" s="2">
        <v>0</v>
      </c>
      <c r="Y35" s="123">
        <v>0</v>
      </c>
      <c r="Z35" s="43">
        <v>1</v>
      </c>
      <c r="AA35" s="17">
        <v>1</v>
      </c>
      <c r="AB35" s="17">
        <v>0</v>
      </c>
      <c r="AC35" s="17">
        <v>0</v>
      </c>
      <c r="AD35" s="17">
        <v>0</v>
      </c>
      <c r="AE35" s="10">
        <v>1</v>
      </c>
      <c r="AF35" s="10">
        <v>0</v>
      </c>
      <c r="AG35" s="14">
        <v>1</v>
      </c>
      <c r="AH35" s="10">
        <v>1</v>
      </c>
      <c r="AI35" s="10">
        <v>1</v>
      </c>
      <c r="AJ35" s="10">
        <v>1</v>
      </c>
      <c r="AK35" s="10">
        <v>1</v>
      </c>
      <c r="AL35" s="15">
        <v>1</v>
      </c>
      <c r="AM35" s="15">
        <v>0</v>
      </c>
      <c r="AN35" s="15">
        <v>1</v>
      </c>
      <c r="AO35" s="98">
        <v>1</v>
      </c>
      <c r="AP35" s="15">
        <v>1</v>
      </c>
      <c r="AQ35" s="15">
        <v>0</v>
      </c>
      <c r="AR35" s="15">
        <v>0</v>
      </c>
      <c r="AS35" s="15">
        <v>0</v>
      </c>
      <c r="AT35" s="15">
        <v>0</v>
      </c>
      <c r="AU35" s="15">
        <v>1</v>
      </c>
      <c r="AV35" s="10">
        <v>5</v>
      </c>
      <c r="AW35" s="10">
        <v>2</v>
      </c>
      <c r="AX35" s="10">
        <v>0</v>
      </c>
      <c r="AY35" s="10">
        <v>0</v>
      </c>
      <c r="AZ35" s="10">
        <v>0</v>
      </c>
      <c r="BA35" s="2">
        <v>0</v>
      </c>
      <c r="BB35" s="10">
        <v>2</v>
      </c>
      <c r="BC35" s="10">
        <v>0</v>
      </c>
      <c r="BD35" s="10">
        <v>1</v>
      </c>
      <c r="BE35" s="10">
        <v>1</v>
      </c>
      <c r="BF35" s="10">
        <v>1</v>
      </c>
      <c r="BG35" s="10">
        <v>0</v>
      </c>
      <c r="BH35" s="10">
        <v>1</v>
      </c>
      <c r="BI35" s="10">
        <v>1</v>
      </c>
      <c r="BJ35" s="10">
        <v>1</v>
      </c>
      <c r="BK35" s="10">
        <v>1</v>
      </c>
      <c r="BL35" s="10">
        <v>1</v>
      </c>
      <c r="BM35" s="10">
        <v>0</v>
      </c>
      <c r="BN35" s="10">
        <v>0</v>
      </c>
      <c r="BO35" s="10">
        <v>0</v>
      </c>
      <c r="BP35" s="10">
        <v>0</v>
      </c>
      <c r="BQ35" s="10">
        <v>0</v>
      </c>
      <c r="BR35" s="45">
        <v>1</v>
      </c>
      <c r="BS35" s="20">
        <v>0</v>
      </c>
      <c r="BT35" s="48">
        <v>1</v>
      </c>
      <c r="BU35" s="20">
        <v>0</v>
      </c>
      <c r="BV35" s="20">
        <v>1</v>
      </c>
      <c r="BW35" s="82" t="s">
        <v>148</v>
      </c>
      <c r="BX35" s="21"/>
      <c r="CB35" s="2">
        <f t="shared" si="0"/>
        <v>1</v>
      </c>
      <c r="CC35" s="2">
        <f t="shared" si="1"/>
        <v>1</v>
      </c>
      <c r="CD35" s="2">
        <f t="shared" si="2"/>
        <v>1</v>
      </c>
      <c r="CE35" s="2">
        <f t="shared" si="3"/>
        <v>36</v>
      </c>
      <c r="CF35" s="2" t="str" cm="1">
        <f t="array" ref="CF35">+_xlfn.IFS(Tabell2[[#This Row],[EPD/Miljødeklarasjon - som krav, tildelingskriterium, kontraktsvilkår eller dokumentasjon]]=2,"Ja",Tabell2[[#This Row],[Bærekraftig trevirke/skogbruk - tømmerforordningen, FSC eller PEFC ]]=2,"Ja",Tabell2[[#This Row],[Krav til kvalitet / EN standarder/henvisning til Norsk møbelfakta]]=2,"Ja",Tabell2[[#This Row],[Robuste møbeltekstiler/ kvalitet på møbeltrekk]]=2,"Ja",Tabell2[[#This Row],[Design for lang levetid (Demontering, Reservedeler, produktinformasjon om montering og vedlikehold)]]=2,"Ja",Tabell2[[#This Row],[Merking av plast]]=2,"Ja",Tabell2[[#This Row],[Vask og rengjøring av møbler]]=2,"Ja",Tabell2[[#This Row],[Emballasjen skal være resirkulerbar/ gjenbrukbar (kravet om miljøvennelig emballasje)]]=2,"Ja",Tabell2[[#This Row],[Emballasje (retur- grønt punkt, gjenvinning) (kravet om gjenvinnbar emballasje)]]=2,"Ja",Tabell2[[#This Row],[Kjemikalietabellen (unngå skadelige kjemikaler)]]=2,"Ja",Tabell2[[#This Row],[Flammehemmere]]=2,"Ja",Tabell2[[#This Row],[PVC]]=2,"Ja",Tabell2[[#This Row],[Sosiale hensyn og menneske-rettigheter er inkludert]]=2,"Ja")</f>
        <v>Ja</v>
      </c>
    </row>
    <row r="36" spans="1:84" s="2" customFormat="1" ht="14.45" customHeight="1" x14ac:dyDescent="0.25">
      <c r="A36" s="10">
        <v>2021</v>
      </c>
      <c r="B36" s="10" t="s">
        <v>149</v>
      </c>
      <c r="C36" s="60">
        <v>44546</v>
      </c>
      <c r="D36" s="37" t="s">
        <v>150</v>
      </c>
      <c r="E36" s="61">
        <v>986399445</v>
      </c>
      <c r="F36" s="36" t="s">
        <v>151</v>
      </c>
      <c r="G36" s="69" t="s">
        <v>118</v>
      </c>
      <c r="H36" s="36" t="s">
        <v>80</v>
      </c>
      <c r="I36" s="4">
        <v>39130000</v>
      </c>
      <c r="J36" s="10">
        <v>0</v>
      </c>
      <c r="K36" s="4" t="s">
        <v>75</v>
      </c>
      <c r="L36" s="21" t="s">
        <v>86</v>
      </c>
      <c r="M36" s="4">
        <v>0</v>
      </c>
      <c r="N36" s="76">
        <v>26000000</v>
      </c>
      <c r="O36" s="4">
        <v>1</v>
      </c>
      <c r="P36" s="49" t="s">
        <v>152</v>
      </c>
      <c r="Q36" s="35" t="s">
        <v>153</v>
      </c>
      <c r="R36" s="13"/>
      <c r="S36" s="80">
        <v>0.3</v>
      </c>
      <c r="T36" s="80">
        <v>0.4</v>
      </c>
      <c r="U36" s="80">
        <v>0.30000000000000004</v>
      </c>
      <c r="V36" s="45">
        <v>1</v>
      </c>
      <c r="W36" s="123">
        <v>1</v>
      </c>
      <c r="X36" s="2">
        <v>1</v>
      </c>
      <c r="Y36" s="123">
        <v>0</v>
      </c>
      <c r="Z36" s="43">
        <v>1</v>
      </c>
      <c r="AA36" s="17">
        <v>1</v>
      </c>
      <c r="AB36" s="17">
        <v>0</v>
      </c>
      <c r="AC36" s="17">
        <v>1</v>
      </c>
      <c r="AD36" s="17">
        <v>0</v>
      </c>
      <c r="AE36" s="10">
        <v>0</v>
      </c>
      <c r="AF36" s="10">
        <v>1</v>
      </c>
      <c r="AG36" s="14">
        <v>1</v>
      </c>
      <c r="AH36" s="10">
        <v>1</v>
      </c>
      <c r="AI36" s="10">
        <v>0</v>
      </c>
      <c r="AJ36" s="10">
        <v>1</v>
      </c>
      <c r="AK36" s="10">
        <v>0</v>
      </c>
      <c r="AL36" s="15">
        <v>1</v>
      </c>
      <c r="AM36" s="15">
        <v>0</v>
      </c>
      <c r="AN36" s="15">
        <v>0</v>
      </c>
      <c r="AO36" s="98">
        <v>1</v>
      </c>
      <c r="AP36" s="15">
        <v>0</v>
      </c>
      <c r="AQ36" s="15">
        <v>0</v>
      </c>
      <c r="AR36" s="15">
        <v>0</v>
      </c>
      <c r="AS36" s="15">
        <v>0</v>
      </c>
      <c r="AT36" s="15">
        <v>0</v>
      </c>
      <c r="AU36" s="15">
        <v>0</v>
      </c>
      <c r="AV36" s="10">
        <v>5</v>
      </c>
      <c r="AW36" s="10">
        <v>0</v>
      </c>
      <c r="AX36" s="10">
        <v>0</v>
      </c>
      <c r="AY36" s="10">
        <v>0</v>
      </c>
      <c r="AZ36" s="10">
        <v>1</v>
      </c>
      <c r="BA36" s="2">
        <v>0</v>
      </c>
      <c r="BB36" s="10">
        <v>1</v>
      </c>
      <c r="BC36" s="10">
        <v>0</v>
      </c>
      <c r="BD36" s="10">
        <v>1</v>
      </c>
      <c r="BE36" s="10">
        <v>0</v>
      </c>
      <c r="BF36" s="10">
        <v>1</v>
      </c>
      <c r="BG36" s="10">
        <v>0</v>
      </c>
      <c r="BH36" s="10">
        <v>0</v>
      </c>
      <c r="BI36" s="10">
        <v>0</v>
      </c>
      <c r="BJ36" s="10">
        <v>1</v>
      </c>
      <c r="BK36" s="10">
        <v>0</v>
      </c>
      <c r="BL36" s="10">
        <v>0</v>
      </c>
      <c r="BM36" s="10">
        <v>0</v>
      </c>
      <c r="BN36" s="10">
        <v>1</v>
      </c>
      <c r="BO36" s="10">
        <v>0</v>
      </c>
      <c r="BP36" s="10">
        <v>0</v>
      </c>
      <c r="BQ36" s="10">
        <v>0</v>
      </c>
      <c r="BR36" s="45">
        <v>1</v>
      </c>
      <c r="BS36" s="20">
        <v>0</v>
      </c>
      <c r="BT36" s="48">
        <v>1</v>
      </c>
      <c r="BU36" s="20">
        <v>0</v>
      </c>
      <c r="BV36" s="20">
        <v>0</v>
      </c>
      <c r="BW36" s="82" t="s">
        <v>154</v>
      </c>
      <c r="BX36" s="21"/>
      <c r="CB36" s="2">
        <f t="shared" si="0"/>
        <v>1</v>
      </c>
      <c r="CC36" s="2">
        <f t="shared" si="1"/>
        <v>1</v>
      </c>
      <c r="CD36" s="2">
        <f t="shared" si="2"/>
        <v>0</v>
      </c>
      <c r="CE36" s="2">
        <f t="shared" si="3"/>
        <v>37</v>
      </c>
      <c r="CF36" s="2" t="e" cm="1">
        <f t="array" ref="CF36">+_xlfn.IFS(Tabell2[[#This Row],[EPD/Miljødeklarasjon - som krav, tildelingskriterium, kontraktsvilkår eller dokumentasjon]]=2,"Ja",Tabell2[[#This Row],[Bærekraftig trevirke/skogbruk - tømmerforordningen, FSC eller PEFC ]]=2,"Ja",Tabell2[[#This Row],[Krav til kvalitet / EN standarder/henvisning til Norsk møbelfakta]]=2,"Ja",Tabell2[[#This Row],[Robuste møbeltekstiler/ kvalitet på møbeltrekk]]=2,"Ja",Tabell2[[#This Row],[Design for lang levetid (Demontering, Reservedeler, produktinformasjon om montering og vedlikehold)]]=2,"Ja",Tabell2[[#This Row],[Merking av plast]]=2,"Ja",Tabell2[[#This Row],[Vask og rengjøring av møbler]]=2,"Ja",Tabell2[[#This Row],[Emballasjen skal være resirkulerbar/ gjenbrukbar (kravet om miljøvennelig emballasje)]]=2,"Ja",Tabell2[[#This Row],[Emballasje (retur- grønt punkt, gjenvinning) (kravet om gjenvinnbar emballasje)]]=2,"Ja",Tabell2[[#This Row],[Kjemikalietabellen (unngå skadelige kjemikaler)]]=2,"Ja",Tabell2[[#This Row],[Flammehemmere]]=2,"Ja",Tabell2[[#This Row],[PVC]]=2,"Ja",Tabell2[[#This Row],[Sosiale hensyn og menneske-rettigheter er inkludert]]=2,"Ja")</f>
        <v>#N/A</v>
      </c>
    </row>
    <row r="37" spans="1:84" s="2" customFormat="1" ht="14.45" customHeight="1" x14ac:dyDescent="0.25">
      <c r="A37" s="10">
        <v>2021</v>
      </c>
      <c r="B37" s="10" t="s">
        <v>188</v>
      </c>
      <c r="C37" s="60">
        <v>44220</v>
      </c>
      <c r="D37" s="41" t="s">
        <v>189</v>
      </c>
      <c r="E37" s="61">
        <v>991891919</v>
      </c>
      <c r="F37" s="39" t="s">
        <v>190</v>
      </c>
      <c r="G37" s="72" t="s">
        <v>137</v>
      </c>
      <c r="H37" s="39" t="s">
        <v>99</v>
      </c>
      <c r="I37" s="4">
        <v>39100000</v>
      </c>
      <c r="J37" s="10">
        <v>0</v>
      </c>
      <c r="K37" s="4" t="s">
        <v>75</v>
      </c>
      <c r="L37" s="21" t="s">
        <v>82</v>
      </c>
      <c r="M37" s="4">
        <v>0</v>
      </c>
      <c r="N37" s="76">
        <v>40000000</v>
      </c>
      <c r="O37" s="4">
        <v>1</v>
      </c>
      <c r="P37" s="50" t="s">
        <v>191</v>
      </c>
      <c r="Q37" s="35" t="s">
        <v>192</v>
      </c>
      <c r="R37" s="13"/>
      <c r="S37" s="80">
        <v>0.3</v>
      </c>
      <c r="T37" s="80">
        <v>0.5</v>
      </c>
      <c r="U37" s="80">
        <v>0.19999999999999996</v>
      </c>
      <c r="V37" s="45">
        <v>1</v>
      </c>
      <c r="W37" s="123">
        <v>1</v>
      </c>
      <c r="X37" s="2">
        <v>1</v>
      </c>
      <c r="Y37" s="123">
        <v>1</v>
      </c>
      <c r="Z37" s="43">
        <v>1</v>
      </c>
      <c r="AA37" s="17">
        <v>1</v>
      </c>
      <c r="AB37" s="17">
        <v>0</v>
      </c>
      <c r="AC37" s="17">
        <v>1</v>
      </c>
      <c r="AD37" s="17">
        <v>0</v>
      </c>
      <c r="AE37" s="10">
        <v>0</v>
      </c>
      <c r="AF37" s="10">
        <v>1</v>
      </c>
      <c r="AG37" s="14">
        <v>1</v>
      </c>
      <c r="AH37" s="10">
        <v>1</v>
      </c>
      <c r="AI37" s="10">
        <v>1</v>
      </c>
      <c r="AJ37" s="10">
        <v>1</v>
      </c>
      <c r="AK37" s="10">
        <v>1</v>
      </c>
      <c r="AL37" s="15">
        <v>1</v>
      </c>
      <c r="AM37" s="15">
        <v>0</v>
      </c>
      <c r="AN37" s="15">
        <v>1</v>
      </c>
      <c r="AO37" s="98">
        <v>1</v>
      </c>
      <c r="AP37" s="15">
        <v>0</v>
      </c>
      <c r="AQ37" s="15">
        <v>0</v>
      </c>
      <c r="AR37" s="15">
        <v>0</v>
      </c>
      <c r="AS37" s="15">
        <v>0</v>
      </c>
      <c r="AT37" s="15">
        <v>0</v>
      </c>
      <c r="AU37" s="15">
        <v>0</v>
      </c>
      <c r="AV37" s="10">
        <v>5</v>
      </c>
      <c r="AW37" s="10">
        <v>0</v>
      </c>
      <c r="AX37" s="10">
        <v>0</v>
      </c>
      <c r="AY37" s="10">
        <v>0</v>
      </c>
      <c r="AZ37" s="10">
        <v>0</v>
      </c>
      <c r="BA37" s="2">
        <v>0</v>
      </c>
      <c r="BB37" s="10">
        <v>1</v>
      </c>
      <c r="BC37" s="10">
        <v>0</v>
      </c>
      <c r="BD37" s="10">
        <v>1</v>
      </c>
      <c r="BE37" s="10">
        <v>0</v>
      </c>
      <c r="BF37" s="10">
        <v>0</v>
      </c>
      <c r="BG37" s="10">
        <v>1</v>
      </c>
      <c r="BH37" s="10">
        <v>0</v>
      </c>
      <c r="BI37" s="10">
        <v>0</v>
      </c>
      <c r="BJ37" s="10">
        <v>1</v>
      </c>
      <c r="BK37" s="10">
        <v>0</v>
      </c>
      <c r="BL37" s="10">
        <v>0</v>
      </c>
      <c r="BM37" s="10">
        <v>0</v>
      </c>
      <c r="BN37" s="10">
        <v>0</v>
      </c>
      <c r="BO37" s="10">
        <v>0</v>
      </c>
      <c r="BP37" s="10">
        <v>0</v>
      </c>
      <c r="BQ37" s="10">
        <v>0</v>
      </c>
      <c r="BR37" s="45">
        <v>1</v>
      </c>
      <c r="BS37" s="20">
        <v>0</v>
      </c>
      <c r="BT37" s="48">
        <v>0</v>
      </c>
      <c r="BU37" s="20">
        <v>1</v>
      </c>
      <c r="BV37" s="20">
        <v>0</v>
      </c>
      <c r="BW37" s="82" t="s">
        <v>193</v>
      </c>
      <c r="BX37" s="21" t="s">
        <v>194</v>
      </c>
      <c r="CB37" s="2">
        <f t="shared" si="0"/>
        <v>1</v>
      </c>
      <c r="CC37" s="2">
        <f t="shared" si="1"/>
        <v>1</v>
      </c>
      <c r="CD37" s="2">
        <f t="shared" si="2"/>
        <v>1</v>
      </c>
      <c r="CE37" s="2">
        <f t="shared" si="3"/>
        <v>38</v>
      </c>
      <c r="CF37" s="2" t="e" cm="1">
        <f t="array" ref="CF37">+_xlfn.IFS(Tabell2[[#This Row],[EPD/Miljødeklarasjon - som krav, tildelingskriterium, kontraktsvilkår eller dokumentasjon]]=2,"Ja",Tabell2[[#This Row],[Bærekraftig trevirke/skogbruk - tømmerforordningen, FSC eller PEFC ]]=2,"Ja",Tabell2[[#This Row],[Krav til kvalitet / EN standarder/henvisning til Norsk møbelfakta]]=2,"Ja",Tabell2[[#This Row],[Robuste møbeltekstiler/ kvalitet på møbeltrekk]]=2,"Ja",Tabell2[[#This Row],[Design for lang levetid (Demontering, Reservedeler, produktinformasjon om montering og vedlikehold)]]=2,"Ja",Tabell2[[#This Row],[Merking av plast]]=2,"Ja",Tabell2[[#This Row],[Vask og rengjøring av møbler]]=2,"Ja",Tabell2[[#This Row],[Emballasjen skal være resirkulerbar/ gjenbrukbar (kravet om miljøvennelig emballasje)]]=2,"Ja",Tabell2[[#This Row],[Emballasje (retur- grønt punkt, gjenvinning) (kravet om gjenvinnbar emballasje)]]=2,"Ja",Tabell2[[#This Row],[Kjemikalietabellen (unngå skadelige kjemikaler)]]=2,"Ja",Tabell2[[#This Row],[Flammehemmere]]=2,"Ja",Tabell2[[#This Row],[PVC]]=2,"Ja",Tabell2[[#This Row],[Sosiale hensyn og menneske-rettigheter er inkludert]]=2,"Ja")</f>
        <v>#N/A</v>
      </c>
    </row>
    <row r="38" spans="1:84" s="2" customFormat="1" ht="14.45" customHeight="1" x14ac:dyDescent="0.25">
      <c r="A38" s="10">
        <v>2021</v>
      </c>
      <c r="B38" s="10" t="s">
        <v>291</v>
      </c>
      <c r="C38" s="60">
        <v>44299</v>
      </c>
      <c r="D38" s="37" t="s">
        <v>292</v>
      </c>
      <c r="E38" s="61">
        <v>916879067</v>
      </c>
      <c r="F38" s="36" t="s">
        <v>293</v>
      </c>
      <c r="G38" s="69" t="s">
        <v>214</v>
      </c>
      <c r="H38" s="36" t="s">
        <v>80</v>
      </c>
      <c r="I38" s="4">
        <v>39000000</v>
      </c>
      <c r="J38" s="10">
        <v>0</v>
      </c>
      <c r="K38" s="4" t="s">
        <v>75</v>
      </c>
      <c r="L38" s="21" t="s">
        <v>82</v>
      </c>
      <c r="M38" s="4">
        <v>1</v>
      </c>
      <c r="N38" s="76">
        <v>120000000</v>
      </c>
      <c r="O38" s="4">
        <v>1</v>
      </c>
      <c r="P38" s="49" t="s">
        <v>294</v>
      </c>
      <c r="Q38" s="35" t="s">
        <v>295</v>
      </c>
      <c r="R38" s="13"/>
      <c r="S38" s="80">
        <v>0.1</v>
      </c>
      <c r="T38" s="80">
        <v>0.55000000000000004</v>
      </c>
      <c r="U38" s="80">
        <v>0.35</v>
      </c>
      <c r="V38" s="45">
        <v>1</v>
      </c>
      <c r="W38" s="123">
        <v>1</v>
      </c>
      <c r="X38" s="2">
        <v>0</v>
      </c>
      <c r="Y38" s="123">
        <v>0</v>
      </c>
      <c r="Z38" s="81">
        <v>1</v>
      </c>
      <c r="AA38" s="14">
        <v>1</v>
      </c>
      <c r="AB38" s="14">
        <v>0</v>
      </c>
      <c r="AC38" s="14">
        <v>0</v>
      </c>
      <c r="AD38" s="14">
        <v>0</v>
      </c>
      <c r="AE38" s="10">
        <v>0</v>
      </c>
      <c r="AF38" s="10">
        <v>0</v>
      </c>
      <c r="AG38" s="14">
        <v>1</v>
      </c>
      <c r="AH38" s="10">
        <v>1</v>
      </c>
      <c r="AI38" s="10">
        <v>0</v>
      </c>
      <c r="AJ38" s="10">
        <v>1</v>
      </c>
      <c r="AK38" s="10">
        <v>0</v>
      </c>
      <c r="AL38" s="15">
        <v>2</v>
      </c>
      <c r="AM38" s="15">
        <v>0</v>
      </c>
      <c r="AN38" s="15">
        <v>1</v>
      </c>
      <c r="AO38" s="98">
        <v>2</v>
      </c>
      <c r="AP38" s="15">
        <v>0</v>
      </c>
      <c r="AQ38" s="15">
        <v>0</v>
      </c>
      <c r="AR38" s="15">
        <v>0</v>
      </c>
      <c r="AS38" s="15">
        <v>0</v>
      </c>
      <c r="AT38" s="15">
        <v>1</v>
      </c>
      <c r="AU38" s="15">
        <v>0</v>
      </c>
      <c r="AV38" s="10" t="s">
        <v>93</v>
      </c>
      <c r="AW38" s="10">
        <v>0</v>
      </c>
      <c r="AX38" s="10">
        <v>0</v>
      </c>
      <c r="AY38" s="10">
        <v>0</v>
      </c>
      <c r="AZ38" s="10">
        <v>1</v>
      </c>
      <c r="BA38" s="2">
        <v>2</v>
      </c>
      <c r="BB38" s="10">
        <v>2</v>
      </c>
      <c r="BC38" s="10">
        <v>2</v>
      </c>
      <c r="BD38" s="10">
        <v>1</v>
      </c>
      <c r="BE38" s="10">
        <v>1</v>
      </c>
      <c r="BF38" s="10">
        <v>1</v>
      </c>
      <c r="BG38" s="10">
        <v>1</v>
      </c>
      <c r="BH38" s="10">
        <v>0</v>
      </c>
      <c r="BI38" s="10">
        <v>0</v>
      </c>
      <c r="BJ38" s="10">
        <v>2</v>
      </c>
      <c r="BK38" s="10">
        <v>2</v>
      </c>
      <c r="BL38" s="10">
        <v>0</v>
      </c>
      <c r="BM38" s="10">
        <v>1</v>
      </c>
      <c r="BN38" s="10">
        <v>1</v>
      </c>
      <c r="BO38" s="10">
        <v>1</v>
      </c>
      <c r="BP38" s="10">
        <v>1</v>
      </c>
      <c r="BQ38" s="10">
        <v>0</v>
      </c>
      <c r="BR38" s="45">
        <v>1</v>
      </c>
      <c r="BS38" s="20">
        <v>0</v>
      </c>
      <c r="BT38" s="48">
        <v>0</v>
      </c>
      <c r="BU38" s="20">
        <v>1</v>
      </c>
      <c r="BV38" s="20">
        <v>0</v>
      </c>
      <c r="BW38" s="82" t="s">
        <v>296</v>
      </c>
      <c r="BX38" s="21"/>
      <c r="CB38" s="2">
        <f t="shared" si="0"/>
        <v>1</v>
      </c>
      <c r="CC38" s="2">
        <f t="shared" si="1"/>
        <v>1</v>
      </c>
      <c r="CD38" s="2">
        <f t="shared" si="2"/>
        <v>1</v>
      </c>
      <c r="CE38" s="2">
        <f t="shared" si="3"/>
        <v>39</v>
      </c>
      <c r="CF38" s="2" t="str" cm="1">
        <f t="array" ref="CF38">+_xlfn.IFS(Tabell2[[#This Row],[EPD/Miljødeklarasjon - som krav, tildelingskriterium, kontraktsvilkår eller dokumentasjon]]=2,"Ja",Tabell2[[#This Row],[Bærekraftig trevirke/skogbruk - tømmerforordningen, FSC eller PEFC ]]=2,"Ja",Tabell2[[#This Row],[Krav til kvalitet / EN standarder/henvisning til Norsk møbelfakta]]=2,"Ja",Tabell2[[#This Row],[Robuste møbeltekstiler/ kvalitet på møbeltrekk]]=2,"Ja",Tabell2[[#This Row],[Design for lang levetid (Demontering, Reservedeler, produktinformasjon om montering og vedlikehold)]]=2,"Ja",Tabell2[[#This Row],[Merking av plast]]=2,"Ja",Tabell2[[#This Row],[Vask og rengjøring av møbler]]=2,"Ja",Tabell2[[#This Row],[Emballasjen skal være resirkulerbar/ gjenbrukbar (kravet om miljøvennelig emballasje)]]=2,"Ja",Tabell2[[#This Row],[Emballasje (retur- grønt punkt, gjenvinning) (kravet om gjenvinnbar emballasje)]]=2,"Ja",Tabell2[[#This Row],[Kjemikalietabellen (unngå skadelige kjemikaler)]]=2,"Ja",Tabell2[[#This Row],[Flammehemmere]]=2,"Ja",Tabell2[[#This Row],[PVC]]=2,"Ja",Tabell2[[#This Row],[Sosiale hensyn og menneske-rettigheter er inkludert]]=2,"Ja")</f>
        <v>Ja</v>
      </c>
    </row>
    <row r="39" spans="1:84" s="2" customFormat="1" ht="14.45" customHeight="1" x14ac:dyDescent="0.25">
      <c r="A39" s="10">
        <v>2021</v>
      </c>
      <c r="B39" s="10" t="s">
        <v>291</v>
      </c>
      <c r="C39" s="60">
        <v>44299</v>
      </c>
      <c r="D39" s="37" t="s">
        <v>292</v>
      </c>
      <c r="E39" s="61">
        <v>916879067</v>
      </c>
      <c r="F39" s="36" t="s">
        <v>297</v>
      </c>
      <c r="G39" s="69" t="s">
        <v>214</v>
      </c>
      <c r="H39" s="36" t="s">
        <v>80</v>
      </c>
      <c r="I39" s="4">
        <v>39000000</v>
      </c>
      <c r="J39" s="10">
        <v>0</v>
      </c>
      <c r="K39" s="4" t="s">
        <v>75</v>
      </c>
      <c r="L39" s="21" t="s">
        <v>82</v>
      </c>
      <c r="M39" s="4">
        <v>1</v>
      </c>
      <c r="N39" s="76">
        <v>120000000</v>
      </c>
      <c r="O39" s="4">
        <v>1</v>
      </c>
      <c r="P39" s="49" t="s">
        <v>298</v>
      </c>
      <c r="Q39" s="35" t="s">
        <v>295</v>
      </c>
      <c r="R39" s="13"/>
      <c r="S39" s="80">
        <v>0.1</v>
      </c>
      <c r="T39" s="80">
        <v>0.45</v>
      </c>
      <c r="U39" s="80">
        <v>0.44999999999999996</v>
      </c>
      <c r="V39" s="45">
        <v>1</v>
      </c>
      <c r="W39" s="123">
        <v>1</v>
      </c>
      <c r="X39" s="2">
        <v>0</v>
      </c>
      <c r="Y39" s="123">
        <v>0</v>
      </c>
      <c r="Z39" s="81">
        <v>1</v>
      </c>
      <c r="AA39" s="14">
        <v>1</v>
      </c>
      <c r="AB39" s="14">
        <v>0</v>
      </c>
      <c r="AC39" s="14">
        <v>0</v>
      </c>
      <c r="AD39" s="14">
        <v>0</v>
      </c>
      <c r="AE39" s="10">
        <v>0</v>
      </c>
      <c r="AF39" s="10">
        <v>0</v>
      </c>
      <c r="AG39" s="14">
        <v>1</v>
      </c>
      <c r="AH39" s="10">
        <v>1</v>
      </c>
      <c r="AI39" s="10">
        <v>0</v>
      </c>
      <c r="AJ39" s="10">
        <v>1</v>
      </c>
      <c r="AK39" s="10">
        <v>0</v>
      </c>
      <c r="AL39" s="15">
        <v>2</v>
      </c>
      <c r="AM39" s="15">
        <v>0</v>
      </c>
      <c r="AN39" s="15">
        <v>1</v>
      </c>
      <c r="AO39" s="98">
        <v>2</v>
      </c>
      <c r="AP39" s="15">
        <v>0</v>
      </c>
      <c r="AQ39" s="15">
        <v>0</v>
      </c>
      <c r="AR39" s="15">
        <v>0</v>
      </c>
      <c r="AS39" s="15">
        <v>0</v>
      </c>
      <c r="AT39" s="15">
        <v>1</v>
      </c>
      <c r="AU39" s="15">
        <v>0</v>
      </c>
      <c r="AV39" s="10" t="s">
        <v>93</v>
      </c>
      <c r="AW39" s="10">
        <v>0</v>
      </c>
      <c r="AX39" s="10">
        <v>0</v>
      </c>
      <c r="AY39" s="10">
        <v>0</v>
      </c>
      <c r="AZ39" s="10">
        <v>1</v>
      </c>
      <c r="BA39" s="2">
        <v>2</v>
      </c>
      <c r="BB39" s="10">
        <v>2</v>
      </c>
      <c r="BC39" s="10">
        <v>2</v>
      </c>
      <c r="BD39" s="10">
        <v>1</v>
      </c>
      <c r="BE39" s="10">
        <v>1</v>
      </c>
      <c r="BF39" s="10">
        <v>1</v>
      </c>
      <c r="BG39" s="10">
        <v>1</v>
      </c>
      <c r="BH39" s="10">
        <v>0</v>
      </c>
      <c r="BI39" s="10">
        <v>0</v>
      </c>
      <c r="BJ39" s="10">
        <v>2</v>
      </c>
      <c r="BK39" s="10">
        <v>2</v>
      </c>
      <c r="BL39" s="10">
        <v>0</v>
      </c>
      <c r="BM39" s="10">
        <v>1</v>
      </c>
      <c r="BN39" s="10">
        <v>1</v>
      </c>
      <c r="BO39" s="10">
        <v>1</v>
      </c>
      <c r="BP39" s="10">
        <v>1</v>
      </c>
      <c r="BQ39" s="10">
        <v>0</v>
      </c>
      <c r="BR39" s="45">
        <v>1</v>
      </c>
      <c r="BS39" s="20">
        <v>0</v>
      </c>
      <c r="BT39" s="48">
        <v>0</v>
      </c>
      <c r="BU39" s="20">
        <v>1</v>
      </c>
      <c r="BV39" s="20">
        <v>0</v>
      </c>
      <c r="BW39" s="82" t="s">
        <v>296</v>
      </c>
      <c r="BX39" s="21"/>
      <c r="CB39" s="2">
        <f t="shared" si="0"/>
        <v>1</v>
      </c>
      <c r="CC39" s="2">
        <f t="shared" si="1"/>
        <v>1</v>
      </c>
      <c r="CD39" s="2">
        <f t="shared" si="2"/>
        <v>1</v>
      </c>
      <c r="CE39" s="2">
        <f t="shared" si="3"/>
        <v>40</v>
      </c>
      <c r="CF39" s="2" t="str" cm="1">
        <f t="array" ref="CF39">+_xlfn.IFS(Tabell2[[#This Row],[EPD/Miljødeklarasjon - som krav, tildelingskriterium, kontraktsvilkår eller dokumentasjon]]=2,"Ja",Tabell2[[#This Row],[Bærekraftig trevirke/skogbruk - tømmerforordningen, FSC eller PEFC ]]=2,"Ja",Tabell2[[#This Row],[Krav til kvalitet / EN standarder/henvisning til Norsk møbelfakta]]=2,"Ja",Tabell2[[#This Row],[Robuste møbeltekstiler/ kvalitet på møbeltrekk]]=2,"Ja",Tabell2[[#This Row],[Design for lang levetid (Demontering, Reservedeler, produktinformasjon om montering og vedlikehold)]]=2,"Ja",Tabell2[[#This Row],[Merking av plast]]=2,"Ja",Tabell2[[#This Row],[Vask og rengjøring av møbler]]=2,"Ja",Tabell2[[#This Row],[Emballasjen skal være resirkulerbar/ gjenbrukbar (kravet om miljøvennelig emballasje)]]=2,"Ja",Tabell2[[#This Row],[Emballasje (retur- grønt punkt, gjenvinning) (kravet om gjenvinnbar emballasje)]]=2,"Ja",Tabell2[[#This Row],[Kjemikalietabellen (unngå skadelige kjemikaler)]]=2,"Ja",Tabell2[[#This Row],[Flammehemmere]]=2,"Ja",Tabell2[[#This Row],[PVC]]=2,"Ja",Tabell2[[#This Row],[Sosiale hensyn og menneske-rettigheter er inkludert]]=2,"Ja")</f>
        <v>Ja</v>
      </c>
    </row>
    <row r="40" spans="1:84" s="2" customFormat="1" ht="14.45" customHeight="1" x14ac:dyDescent="0.25">
      <c r="A40" s="10">
        <v>2021</v>
      </c>
      <c r="B40" s="10" t="s">
        <v>291</v>
      </c>
      <c r="C40" s="60">
        <v>44299</v>
      </c>
      <c r="D40" s="37" t="s">
        <v>292</v>
      </c>
      <c r="E40" s="61">
        <v>916879067</v>
      </c>
      <c r="F40" s="36" t="s">
        <v>299</v>
      </c>
      <c r="G40" s="69" t="s">
        <v>214</v>
      </c>
      <c r="H40" s="36" t="s">
        <v>80</v>
      </c>
      <c r="I40" s="4">
        <v>39000000</v>
      </c>
      <c r="J40" s="10">
        <v>0</v>
      </c>
      <c r="K40" s="4" t="s">
        <v>75</v>
      </c>
      <c r="L40" s="21" t="s">
        <v>82</v>
      </c>
      <c r="M40" s="4">
        <v>1</v>
      </c>
      <c r="N40" s="76">
        <v>24000000</v>
      </c>
      <c r="O40" s="4">
        <v>1</v>
      </c>
      <c r="P40" s="49" t="s">
        <v>300</v>
      </c>
      <c r="Q40" s="35" t="s">
        <v>295</v>
      </c>
      <c r="R40" s="13"/>
      <c r="S40" s="80">
        <v>0.1</v>
      </c>
      <c r="T40" s="80">
        <v>0.45</v>
      </c>
      <c r="U40" s="80">
        <v>0.44999999999999996</v>
      </c>
      <c r="V40" s="45">
        <v>1</v>
      </c>
      <c r="W40" s="123">
        <v>1</v>
      </c>
      <c r="X40" s="2">
        <v>0</v>
      </c>
      <c r="Y40" s="123">
        <v>0</v>
      </c>
      <c r="Z40" s="81">
        <v>1</v>
      </c>
      <c r="AA40" s="14">
        <v>1</v>
      </c>
      <c r="AB40" s="14">
        <v>0</v>
      </c>
      <c r="AC40" s="14">
        <v>0</v>
      </c>
      <c r="AD40" s="14">
        <v>0</v>
      </c>
      <c r="AE40" s="10">
        <v>0</v>
      </c>
      <c r="AF40" s="10">
        <v>0</v>
      </c>
      <c r="AG40" s="14">
        <v>1</v>
      </c>
      <c r="AH40" s="10">
        <v>1</v>
      </c>
      <c r="AI40" s="10">
        <v>0</v>
      </c>
      <c r="AJ40" s="10">
        <v>1</v>
      </c>
      <c r="AK40" s="10">
        <v>0</v>
      </c>
      <c r="AL40" s="15">
        <v>2</v>
      </c>
      <c r="AM40" s="15">
        <v>0</v>
      </c>
      <c r="AN40" s="15">
        <v>1</v>
      </c>
      <c r="AO40" s="98">
        <v>2</v>
      </c>
      <c r="AP40" s="15">
        <v>0</v>
      </c>
      <c r="AQ40" s="15">
        <v>0</v>
      </c>
      <c r="AR40" s="15">
        <v>0</v>
      </c>
      <c r="AS40" s="15">
        <v>0</v>
      </c>
      <c r="AT40" s="15">
        <v>1</v>
      </c>
      <c r="AU40" s="15">
        <v>0</v>
      </c>
      <c r="AV40" s="10" t="s">
        <v>93</v>
      </c>
      <c r="AW40" s="10">
        <v>0</v>
      </c>
      <c r="AX40" s="10">
        <v>0</v>
      </c>
      <c r="AY40" s="10">
        <v>0</v>
      </c>
      <c r="AZ40" s="10">
        <v>1</v>
      </c>
      <c r="BA40" s="2">
        <v>2</v>
      </c>
      <c r="BB40" s="10">
        <v>2</v>
      </c>
      <c r="BC40" s="10">
        <v>2</v>
      </c>
      <c r="BD40" s="10">
        <v>1</v>
      </c>
      <c r="BE40" s="10">
        <v>1</v>
      </c>
      <c r="BF40" s="10">
        <v>1</v>
      </c>
      <c r="BG40" s="10">
        <v>1</v>
      </c>
      <c r="BH40" s="10">
        <v>0</v>
      </c>
      <c r="BI40" s="10">
        <v>0</v>
      </c>
      <c r="BJ40" s="10">
        <v>2</v>
      </c>
      <c r="BK40" s="10">
        <v>2</v>
      </c>
      <c r="BL40" s="10">
        <v>0</v>
      </c>
      <c r="BM40" s="10">
        <v>1</v>
      </c>
      <c r="BN40" s="10">
        <v>1</v>
      </c>
      <c r="BO40" s="10">
        <v>1</v>
      </c>
      <c r="BP40" s="10">
        <v>1</v>
      </c>
      <c r="BQ40" s="10">
        <v>0</v>
      </c>
      <c r="BR40" s="45">
        <v>1</v>
      </c>
      <c r="BS40" s="20">
        <v>0</v>
      </c>
      <c r="BT40" s="48">
        <v>0</v>
      </c>
      <c r="BU40" s="20">
        <v>1</v>
      </c>
      <c r="BV40" s="20">
        <v>0</v>
      </c>
      <c r="BW40" s="82" t="s">
        <v>296</v>
      </c>
      <c r="BX40" s="21"/>
      <c r="CB40" s="2">
        <f t="shared" si="0"/>
        <v>1</v>
      </c>
      <c r="CC40" s="2">
        <f t="shared" si="1"/>
        <v>1</v>
      </c>
      <c r="CD40" s="2">
        <f t="shared" si="2"/>
        <v>1</v>
      </c>
      <c r="CE40" s="2">
        <f t="shared" si="3"/>
        <v>41</v>
      </c>
      <c r="CF40" s="2" t="str" cm="1">
        <f t="array" ref="CF40">+_xlfn.IFS(Tabell2[[#This Row],[EPD/Miljødeklarasjon - som krav, tildelingskriterium, kontraktsvilkår eller dokumentasjon]]=2,"Ja",Tabell2[[#This Row],[Bærekraftig trevirke/skogbruk - tømmerforordningen, FSC eller PEFC ]]=2,"Ja",Tabell2[[#This Row],[Krav til kvalitet / EN standarder/henvisning til Norsk møbelfakta]]=2,"Ja",Tabell2[[#This Row],[Robuste møbeltekstiler/ kvalitet på møbeltrekk]]=2,"Ja",Tabell2[[#This Row],[Design for lang levetid (Demontering, Reservedeler, produktinformasjon om montering og vedlikehold)]]=2,"Ja",Tabell2[[#This Row],[Merking av plast]]=2,"Ja",Tabell2[[#This Row],[Vask og rengjøring av møbler]]=2,"Ja",Tabell2[[#This Row],[Emballasjen skal være resirkulerbar/ gjenbrukbar (kravet om miljøvennelig emballasje)]]=2,"Ja",Tabell2[[#This Row],[Emballasje (retur- grønt punkt, gjenvinning) (kravet om gjenvinnbar emballasje)]]=2,"Ja",Tabell2[[#This Row],[Kjemikalietabellen (unngå skadelige kjemikaler)]]=2,"Ja",Tabell2[[#This Row],[Flammehemmere]]=2,"Ja",Tabell2[[#This Row],[PVC]]=2,"Ja",Tabell2[[#This Row],[Sosiale hensyn og menneske-rettigheter er inkludert]]=2,"Ja")</f>
        <v>Ja</v>
      </c>
    </row>
    <row r="41" spans="1:84" s="2" customFormat="1" ht="14.45" customHeight="1" x14ac:dyDescent="0.25">
      <c r="A41" s="10">
        <v>2021</v>
      </c>
      <c r="B41" s="10" t="s">
        <v>311</v>
      </c>
      <c r="C41" s="60">
        <v>44322</v>
      </c>
      <c r="D41" s="41" t="s">
        <v>312</v>
      </c>
      <c r="E41" s="61">
        <v>940101808</v>
      </c>
      <c r="F41" s="39" t="s">
        <v>313</v>
      </c>
      <c r="G41" s="72" t="s">
        <v>222</v>
      </c>
      <c r="H41" s="39" t="s">
        <v>99</v>
      </c>
      <c r="I41" s="4">
        <v>39100000</v>
      </c>
      <c r="J41" s="10">
        <v>0</v>
      </c>
      <c r="K41" s="4" t="s">
        <v>75</v>
      </c>
      <c r="L41" s="21" t="s">
        <v>82</v>
      </c>
      <c r="M41" s="4">
        <v>1</v>
      </c>
      <c r="N41" s="76">
        <v>20000000</v>
      </c>
      <c r="O41" s="4">
        <v>1</v>
      </c>
      <c r="P41" s="50" t="s">
        <v>314</v>
      </c>
      <c r="Q41" s="35" t="s">
        <v>315</v>
      </c>
      <c r="R41" s="13"/>
      <c r="S41" s="80">
        <v>0.3</v>
      </c>
      <c r="T41" s="80">
        <v>0.45</v>
      </c>
      <c r="U41" s="80">
        <v>0.25</v>
      </c>
      <c r="V41" s="45">
        <v>1</v>
      </c>
      <c r="W41" s="123">
        <v>1</v>
      </c>
      <c r="X41" s="2">
        <v>0</v>
      </c>
      <c r="Y41" s="123">
        <v>0</v>
      </c>
      <c r="Z41" s="43">
        <v>1</v>
      </c>
      <c r="AA41" s="17">
        <v>1</v>
      </c>
      <c r="AB41" s="17">
        <v>0</v>
      </c>
      <c r="AC41" s="17">
        <v>0</v>
      </c>
      <c r="AD41" s="17">
        <v>0</v>
      </c>
      <c r="AE41" s="10">
        <v>0</v>
      </c>
      <c r="AF41" s="10">
        <v>1</v>
      </c>
      <c r="AG41" s="14">
        <v>1</v>
      </c>
      <c r="AH41" s="10">
        <v>1</v>
      </c>
      <c r="AI41" s="10">
        <v>0</v>
      </c>
      <c r="AJ41" s="10">
        <v>1</v>
      </c>
      <c r="AK41" s="10">
        <v>0</v>
      </c>
      <c r="AL41" s="15">
        <v>1</v>
      </c>
      <c r="AM41" s="15">
        <v>0</v>
      </c>
      <c r="AN41" s="15">
        <v>1</v>
      </c>
      <c r="AO41" s="98">
        <v>1</v>
      </c>
      <c r="AP41" s="15">
        <v>2</v>
      </c>
      <c r="AQ41" s="15">
        <v>0</v>
      </c>
      <c r="AR41" s="15">
        <v>0</v>
      </c>
      <c r="AS41" s="15">
        <v>0</v>
      </c>
      <c r="AT41" s="15">
        <v>1</v>
      </c>
      <c r="AU41" s="15">
        <v>0</v>
      </c>
      <c r="AV41" s="10">
        <v>5</v>
      </c>
      <c r="AW41" s="10">
        <v>1</v>
      </c>
      <c r="AX41" s="10">
        <v>0</v>
      </c>
      <c r="AY41" s="10">
        <v>0</v>
      </c>
      <c r="AZ41" s="10">
        <v>0</v>
      </c>
      <c r="BA41" s="2">
        <v>0</v>
      </c>
      <c r="BB41" s="10">
        <v>2</v>
      </c>
      <c r="BC41" s="10">
        <v>0</v>
      </c>
      <c r="BD41" s="10">
        <v>1</v>
      </c>
      <c r="BE41" s="10">
        <v>1</v>
      </c>
      <c r="BF41" s="10">
        <v>1</v>
      </c>
      <c r="BG41" s="10">
        <v>0</v>
      </c>
      <c r="BH41" s="10">
        <v>0</v>
      </c>
      <c r="BI41" s="10">
        <v>1</v>
      </c>
      <c r="BJ41" s="10">
        <v>1</v>
      </c>
      <c r="BK41" s="10">
        <v>1</v>
      </c>
      <c r="BL41" s="10">
        <v>0</v>
      </c>
      <c r="BM41" s="10">
        <v>0</v>
      </c>
      <c r="BN41" s="10">
        <v>0</v>
      </c>
      <c r="BO41" s="10">
        <v>1</v>
      </c>
      <c r="BP41" s="10">
        <v>0</v>
      </c>
      <c r="BQ41" s="10">
        <v>0</v>
      </c>
      <c r="BR41" s="45">
        <v>1</v>
      </c>
      <c r="BS41" s="20">
        <v>0</v>
      </c>
      <c r="BT41" s="48">
        <v>1</v>
      </c>
      <c r="BU41" s="20">
        <v>0</v>
      </c>
      <c r="BV41" s="20">
        <v>0</v>
      </c>
      <c r="BW41" s="82" t="s">
        <v>316</v>
      </c>
      <c r="BX41" s="21"/>
      <c r="CB41" s="2">
        <f t="shared" si="0"/>
        <v>1</v>
      </c>
      <c r="CC41" s="2">
        <f t="shared" si="1"/>
        <v>1</v>
      </c>
      <c r="CD41" s="2">
        <f t="shared" si="2"/>
        <v>1</v>
      </c>
      <c r="CE41" s="2">
        <f t="shared" si="3"/>
        <v>42</v>
      </c>
      <c r="CF41" s="2" t="str" cm="1">
        <f t="array" ref="CF41">+_xlfn.IFS(Tabell2[[#This Row],[EPD/Miljødeklarasjon - som krav, tildelingskriterium, kontraktsvilkår eller dokumentasjon]]=2,"Ja",Tabell2[[#This Row],[Bærekraftig trevirke/skogbruk - tømmerforordningen, FSC eller PEFC ]]=2,"Ja",Tabell2[[#This Row],[Krav til kvalitet / EN standarder/henvisning til Norsk møbelfakta]]=2,"Ja",Tabell2[[#This Row],[Robuste møbeltekstiler/ kvalitet på møbeltrekk]]=2,"Ja",Tabell2[[#This Row],[Design for lang levetid (Demontering, Reservedeler, produktinformasjon om montering og vedlikehold)]]=2,"Ja",Tabell2[[#This Row],[Merking av plast]]=2,"Ja",Tabell2[[#This Row],[Vask og rengjøring av møbler]]=2,"Ja",Tabell2[[#This Row],[Emballasjen skal være resirkulerbar/ gjenbrukbar (kravet om miljøvennelig emballasje)]]=2,"Ja",Tabell2[[#This Row],[Emballasje (retur- grønt punkt, gjenvinning) (kravet om gjenvinnbar emballasje)]]=2,"Ja",Tabell2[[#This Row],[Kjemikalietabellen (unngå skadelige kjemikaler)]]=2,"Ja",Tabell2[[#This Row],[Flammehemmere]]=2,"Ja",Tabell2[[#This Row],[PVC]]=2,"Ja",Tabell2[[#This Row],[Sosiale hensyn og menneske-rettigheter er inkludert]]=2,"Ja")</f>
        <v>Ja</v>
      </c>
    </row>
    <row r="42" spans="1:84" s="2" customFormat="1" ht="14.45" customHeight="1" x14ac:dyDescent="0.25">
      <c r="A42" s="10">
        <v>2021</v>
      </c>
      <c r="B42" s="10" t="s">
        <v>317</v>
      </c>
      <c r="C42" s="60">
        <v>44372</v>
      </c>
      <c r="D42" s="41" t="s">
        <v>318</v>
      </c>
      <c r="E42" s="61">
        <v>942110464</v>
      </c>
      <c r="F42" s="39" t="s">
        <v>320</v>
      </c>
      <c r="G42" s="72" t="s">
        <v>145</v>
      </c>
      <c r="H42" s="39" t="s">
        <v>99</v>
      </c>
      <c r="I42" s="4">
        <v>39100000</v>
      </c>
      <c r="J42" s="10">
        <v>0</v>
      </c>
      <c r="K42" s="4" t="s">
        <v>75</v>
      </c>
      <c r="L42" s="21" t="s">
        <v>82</v>
      </c>
      <c r="M42" s="4">
        <v>1</v>
      </c>
      <c r="N42" s="76">
        <v>40000000</v>
      </c>
      <c r="O42" s="4">
        <v>1</v>
      </c>
      <c r="P42" s="50" t="s">
        <v>321</v>
      </c>
      <c r="Q42" s="35" t="s">
        <v>319</v>
      </c>
      <c r="R42" s="79"/>
      <c r="S42" s="80">
        <v>0.2</v>
      </c>
      <c r="T42" s="80">
        <v>0.45</v>
      </c>
      <c r="U42" s="80">
        <v>0.35</v>
      </c>
      <c r="V42" s="45">
        <v>1</v>
      </c>
      <c r="W42" s="123">
        <v>1</v>
      </c>
      <c r="X42" s="2">
        <v>1</v>
      </c>
      <c r="Y42" s="123">
        <v>1</v>
      </c>
      <c r="Z42" s="43">
        <v>1</v>
      </c>
      <c r="AA42" s="17">
        <v>1</v>
      </c>
      <c r="AB42" s="17">
        <v>0</v>
      </c>
      <c r="AC42" s="17">
        <v>1</v>
      </c>
      <c r="AD42" s="17">
        <v>0</v>
      </c>
      <c r="AE42" s="10">
        <v>0</v>
      </c>
      <c r="AF42" s="10">
        <v>1</v>
      </c>
      <c r="AG42" s="14">
        <v>1</v>
      </c>
      <c r="AH42" s="10">
        <v>1</v>
      </c>
      <c r="AI42" s="10">
        <v>1</v>
      </c>
      <c r="AJ42" s="10">
        <v>2</v>
      </c>
      <c r="AK42" s="10">
        <v>2</v>
      </c>
      <c r="AL42" s="15">
        <v>2</v>
      </c>
      <c r="AM42" s="15">
        <v>0</v>
      </c>
      <c r="AN42" s="15">
        <v>1</v>
      </c>
      <c r="AO42" s="98">
        <v>1</v>
      </c>
      <c r="AP42" s="15">
        <v>0</v>
      </c>
      <c r="AQ42" s="15">
        <v>0</v>
      </c>
      <c r="AR42" s="15">
        <v>0</v>
      </c>
      <c r="AS42" s="15">
        <v>0</v>
      </c>
      <c r="AT42" s="15">
        <v>0</v>
      </c>
      <c r="AU42" s="15">
        <v>0</v>
      </c>
      <c r="AV42" s="10">
        <v>5</v>
      </c>
      <c r="AW42" s="10">
        <v>2</v>
      </c>
      <c r="AX42" s="10">
        <v>0</v>
      </c>
      <c r="AY42" s="10">
        <v>0</v>
      </c>
      <c r="AZ42" s="10">
        <v>1</v>
      </c>
      <c r="BA42" s="2">
        <v>1</v>
      </c>
      <c r="BB42" s="10">
        <v>2</v>
      </c>
      <c r="BC42" s="10">
        <v>1</v>
      </c>
      <c r="BD42" s="10">
        <v>1</v>
      </c>
      <c r="BE42" s="10">
        <v>1</v>
      </c>
      <c r="BF42" s="10">
        <v>1</v>
      </c>
      <c r="BG42" s="10">
        <v>1</v>
      </c>
      <c r="BH42" s="10">
        <v>0</v>
      </c>
      <c r="BI42" s="10">
        <v>1</v>
      </c>
      <c r="BJ42" s="10">
        <v>2</v>
      </c>
      <c r="BK42" s="10">
        <v>2</v>
      </c>
      <c r="BL42" s="10">
        <v>0</v>
      </c>
      <c r="BM42" s="10">
        <v>0</v>
      </c>
      <c r="BN42" s="10">
        <v>0</v>
      </c>
      <c r="BO42" s="10">
        <v>0</v>
      </c>
      <c r="BP42" s="10">
        <v>0</v>
      </c>
      <c r="BQ42" s="10">
        <v>0</v>
      </c>
      <c r="BR42" s="45">
        <v>1</v>
      </c>
      <c r="BS42" s="20">
        <v>0</v>
      </c>
      <c r="BT42" s="48">
        <v>1</v>
      </c>
      <c r="BU42" s="20">
        <v>1</v>
      </c>
      <c r="BV42" s="20">
        <v>0</v>
      </c>
      <c r="BW42" s="82" t="s">
        <v>322</v>
      </c>
      <c r="BX42" s="21"/>
      <c r="CB42" s="2">
        <f t="shared" si="0"/>
        <v>1</v>
      </c>
      <c r="CC42" s="2">
        <f t="shared" si="1"/>
        <v>1</v>
      </c>
      <c r="CD42" s="2">
        <f t="shared" si="2"/>
        <v>1</v>
      </c>
      <c r="CE42" s="2">
        <f t="shared" si="3"/>
        <v>43</v>
      </c>
      <c r="CF42" s="2" t="str" cm="1">
        <f t="array" ref="CF42">+_xlfn.IFS(Tabell2[[#This Row],[EPD/Miljødeklarasjon - som krav, tildelingskriterium, kontraktsvilkår eller dokumentasjon]]=2,"Ja",Tabell2[[#This Row],[Bærekraftig trevirke/skogbruk - tømmerforordningen, FSC eller PEFC ]]=2,"Ja",Tabell2[[#This Row],[Krav til kvalitet / EN standarder/henvisning til Norsk møbelfakta]]=2,"Ja",Tabell2[[#This Row],[Robuste møbeltekstiler/ kvalitet på møbeltrekk]]=2,"Ja",Tabell2[[#This Row],[Design for lang levetid (Demontering, Reservedeler, produktinformasjon om montering og vedlikehold)]]=2,"Ja",Tabell2[[#This Row],[Merking av plast]]=2,"Ja",Tabell2[[#This Row],[Vask og rengjøring av møbler]]=2,"Ja",Tabell2[[#This Row],[Emballasjen skal være resirkulerbar/ gjenbrukbar (kravet om miljøvennelig emballasje)]]=2,"Ja",Tabell2[[#This Row],[Emballasje (retur- grønt punkt, gjenvinning) (kravet om gjenvinnbar emballasje)]]=2,"Ja",Tabell2[[#This Row],[Kjemikalietabellen (unngå skadelige kjemikaler)]]=2,"Ja",Tabell2[[#This Row],[Flammehemmere]]=2,"Ja",Tabell2[[#This Row],[PVC]]=2,"Ja",Tabell2[[#This Row],[Sosiale hensyn og menneske-rettigheter er inkludert]]=2,"Ja")</f>
        <v>Ja</v>
      </c>
    </row>
    <row r="43" spans="1:84" s="2" customFormat="1" ht="14.45" customHeight="1" x14ac:dyDescent="0.25">
      <c r="A43" s="10">
        <v>2021</v>
      </c>
      <c r="B43" s="10" t="s">
        <v>329</v>
      </c>
      <c r="C43" s="60">
        <v>44303</v>
      </c>
      <c r="D43" s="37" t="s">
        <v>330</v>
      </c>
      <c r="E43" s="61">
        <v>970018131</v>
      </c>
      <c r="F43" s="36" t="s">
        <v>331</v>
      </c>
      <c r="G43" s="69" t="s">
        <v>137</v>
      </c>
      <c r="H43" s="36" t="s">
        <v>80</v>
      </c>
      <c r="I43" s="4">
        <v>39130000</v>
      </c>
      <c r="J43" s="10">
        <v>0</v>
      </c>
      <c r="K43" s="4" t="s">
        <v>75</v>
      </c>
      <c r="L43" s="21" t="s">
        <v>82</v>
      </c>
      <c r="M43" s="4">
        <v>0</v>
      </c>
      <c r="N43" s="76" t="s">
        <v>81</v>
      </c>
      <c r="O43" s="4">
        <v>1</v>
      </c>
      <c r="P43" s="49" t="s">
        <v>332</v>
      </c>
      <c r="Q43" s="35" t="s">
        <v>333</v>
      </c>
      <c r="R43" s="13"/>
      <c r="S43" s="80">
        <v>0.3</v>
      </c>
      <c r="T43" s="80">
        <v>0.3</v>
      </c>
      <c r="U43" s="80">
        <v>0.4</v>
      </c>
      <c r="V43" s="45">
        <v>1</v>
      </c>
      <c r="W43" s="123">
        <v>1</v>
      </c>
      <c r="X43" s="2">
        <v>1</v>
      </c>
      <c r="Y43" s="123">
        <v>0</v>
      </c>
      <c r="Z43" s="43">
        <v>0</v>
      </c>
      <c r="AA43" s="17">
        <v>1</v>
      </c>
      <c r="AB43" s="17">
        <v>0</v>
      </c>
      <c r="AC43" s="17">
        <v>0</v>
      </c>
      <c r="AD43" s="17">
        <v>0</v>
      </c>
      <c r="AE43" s="10">
        <v>0</v>
      </c>
      <c r="AF43" s="10">
        <v>0</v>
      </c>
      <c r="AG43" s="14">
        <v>1</v>
      </c>
      <c r="AH43" s="10">
        <v>1</v>
      </c>
      <c r="AI43" s="10">
        <v>1</v>
      </c>
      <c r="AJ43" s="10">
        <v>1</v>
      </c>
      <c r="AK43" s="10">
        <v>0</v>
      </c>
      <c r="AL43" s="15">
        <v>1</v>
      </c>
      <c r="AM43" s="15">
        <v>0</v>
      </c>
      <c r="AN43" s="15">
        <v>0</v>
      </c>
      <c r="AO43" s="98">
        <v>0</v>
      </c>
      <c r="AP43" s="15">
        <v>0</v>
      </c>
      <c r="AQ43" s="15">
        <v>0</v>
      </c>
      <c r="AR43" s="15">
        <v>0</v>
      </c>
      <c r="AS43" s="15">
        <v>0</v>
      </c>
      <c r="AT43" s="15">
        <v>1</v>
      </c>
      <c r="AU43" s="15">
        <v>0</v>
      </c>
      <c r="AV43" s="10">
        <v>3</v>
      </c>
      <c r="AW43" s="10">
        <v>0</v>
      </c>
      <c r="AX43" s="10">
        <v>0</v>
      </c>
      <c r="AY43" s="10">
        <v>0</v>
      </c>
      <c r="AZ43" s="10">
        <v>0</v>
      </c>
      <c r="BA43" s="2">
        <v>0</v>
      </c>
      <c r="BB43" s="10">
        <v>1</v>
      </c>
      <c r="BC43" s="10">
        <v>0</v>
      </c>
      <c r="BD43" s="10">
        <v>0</v>
      </c>
      <c r="BE43" s="10">
        <v>0</v>
      </c>
      <c r="BF43" s="10">
        <v>0</v>
      </c>
      <c r="BG43" s="10">
        <v>0</v>
      </c>
      <c r="BH43" s="10">
        <v>0</v>
      </c>
      <c r="BI43" s="10">
        <v>0</v>
      </c>
      <c r="BJ43" s="10">
        <v>0</v>
      </c>
      <c r="BK43" s="10">
        <v>0</v>
      </c>
      <c r="BL43" s="10">
        <v>0</v>
      </c>
      <c r="BM43" s="10">
        <v>0</v>
      </c>
      <c r="BN43" s="10">
        <v>0</v>
      </c>
      <c r="BO43" s="10">
        <v>0</v>
      </c>
      <c r="BP43" s="10">
        <v>0</v>
      </c>
      <c r="BQ43" s="10">
        <v>0</v>
      </c>
      <c r="BR43" s="45">
        <v>0</v>
      </c>
      <c r="BS43" s="20">
        <v>0</v>
      </c>
      <c r="BT43" s="48">
        <v>0</v>
      </c>
      <c r="BU43" s="20">
        <v>0</v>
      </c>
      <c r="BV43" s="20">
        <v>0</v>
      </c>
      <c r="BW43" s="82" t="s">
        <v>93</v>
      </c>
      <c r="BX43" s="21"/>
      <c r="CB43" s="2">
        <f t="shared" si="0"/>
        <v>1</v>
      </c>
      <c r="CC43" s="2">
        <f t="shared" si="1"/>
        <v>1</v>
      </c>
      <c r="CD43" s="2">
        <f t="shared" si="2"/>
        <v>1</v>
      </c>
      <c r="CE43" s="2">
        <f t="shared" si="3"/>
        <v>44</v>
      </c>
      <c r="CF43" s="2" t="e" cm="1">
        <f t="array" ref="CF43">+_xlfn.IFS(Tabell2[[#This Row],[EPD/Miljødeklarasjon - som krav, tildelingskriterium, kontraktsvilkår eller dokumentasjon]]=2,"Ja",Tabell2[[#This Row],[Bærekraftig trevirke/skogbruk - tømmerforordningen, FSC eller PEFC ]]=2,"Ja",Tabell2[[#This Row],[Krav til kvalitet / EN standarder/henvisning til Norsk møbelfakta]]=2,"Ja",Tabell2[[#This Row],[Robuste møbeltekstiler/ kvalitet på møbeltrekk]]=2,"Ja",Tabell2[[#This Row],[Design for lang levetid (Demontering, Reservedeler, produktinformasjon om montering og vedlikehold)]]=2,"Ja",Tabell2[[#This Row],[Merking av plast]]=2,"Ja",Tabell2[[#This Row],[Vask og rengjøring av møbler]]=2,"Ja",Tabell2[[#This Row],[Emballasjen skal være resirkulerbar/ gjenbrukbar (kravet om miljøvennelig emballasje)]]=2,"Ja",Tabell2[[#This Row],[Emballasje (retur- grønt punkt, gjenvinning) (kravet om gjenvinnbar emballasje)]]=2,"Ja",Tabell2[[#This Row],[Kjemikalietabellen (unngå skadelige kjemikaler)]]=2,"Ja",Tabell2[[#This Row],[Flammehemmere]]=2,"Ja",Tabell2[[#This Row],[PVC]]=2,"Ja",Tabell2[[#This Row],[Sosiale hensyn og menneske-rettigheter er inkludert]]=2,"Ja")</f>
        <v>#N/A</v>
      </c>
    </row>
    <row r="44" spans="1:84" s="2" customFormat="1" ht="14.45" customHeight="1" x14ac:dyDescent="0.25">
      <c r="A44" s="11">
        <v>2021</v>
      </c>
      <c r="B44" s="11" t="s">
        <v>353</v>
      </c>
      <c r="C44" s="66">
        <v>44220</v>
      </c>
      <c r="D44" s="41" t="s">
        <v>352</v>
      </c>
      <c r="E44" s="68">
        <v>920415288</v>
      </c>
      <c r="F44" s="40" t="s">
        <v>354</v>
      </c>
      <c r="G44" s="73" t="s">
        <v>137</v>
      </c>
      <c r="H44" s="40" t="s">
        <v>99</v>
      </c>
      <c r="I44" s="75">
        <v>39112000</v>
      </c>
      <c r="J44" s="11">
        <v>0</v>
      </c>
      <c r="K44" s="75" t="s">
        <v>75</v>
      </c>
      <c r="L44" s="28" t="s">
        <v>82</v>
      </c>
      <c r="M44" s="75">
        <v>1</v>
      </c>
      <c r="N44" s="78">
        <v>3500000</v>
      </c>
      <c r="O44" s="75">
        <v>1</v>
      </c>
      <c r="P44" s="50" t="s">
        <v>355</v>
      </c>
      <c r="Q44" s="35" t="s">
        <v>356</v>
      </c>
      <c r="R44" s="13"/>
      <c r="S44" s="80">
        <v>0.2</v>
      </c>
      <c r="T44" s="80">
        <v>0.4</v>
      </c>
      <c r="U44" s="80">
        <v>0.39999999999999991</v>
      </c>
      <c r="V44" s="46">
        <v>1</v>
      </c>
      <c r="W44" s="124">
        <v>1</v>
      </c>
      <c r="X44" s="7">
        <v>1</v>
      </c>
      <c r="Y44" s="124">
        <v>1</v>
      </c>
      <c r="Z44" s="129">
        <v>0</v>
      </c>
      <c r="AA44" s="31">
        <v>1</v>
      </c>
      <c r="AB44" s="31">
        <v>0</v>
      </c>
      <c r="AC44" s="31">
        <v>0</v>
      </c>
      <c r="AD44" s="31">
        <v>0</v>
      </c>
      <c r="AE44" s="11">
        <v>0</v>
      </c>
      <c r="AF44" s="11">
        <v>1</v>
      </c>
      <c r="AG44" s="32">
        <v>1</v>
      </c>
      <c r="AH44" s="11">
        <v>1</v>
      </c>
      <c r="AI44" s="11">
        <v>2</v>
      </c>
      <c r="AJ44" s="11">
        <v>1</v>
      </c>
      <c r="AK44" s="11">
        <v>1</v>
      </c>
      <c r="AL44" s="33">
        <v>2</v>
      </c>
      <c r="AM44" s="33">
        <v>0</v>
      </c>
      <c r="AN44" s="33">
        <v>1</v>
      </c>
      <c r="AO44" s="99">
        <v>1</v>
      </c>
      <c r="AP44" s="33">
        <v>1</v>
      </c>
      <c r="AQ44" s="33">
        <v>0</v>
      </c>
      <c r="AR44" s="33">
        <v>0</v>
      </c>
      <c r="AS44" s="33">
        <v>0</v>
      </c>
      <c r="AT44" s="33">
        <v>0</v>
      </c>
      <c r="AU44" s="33">
        <v>0</v>
      </c>
      <c r="AV44" s="11">
        <v>5</v>
      </c>
      <c r="AW44" s="11">
        <v>1</v>
      </c>
      <c r="AX44" s="11">
        <v>1</v>
      </c>
      <c r="AY44" s="11">
        <v>0</v>
      </c>
      <c r="AZ44" s="11">
        <v>1</v>
      </c>
      <c r="BA44" s="7">
        <v>2</v>
      </c>
      <c r="BB44" s="11">
        <v>1</v>
      </c>
      <c r="BC44" s="11">
        <v>2</v>
      </c>
      <c r="BD44" s="11">
        <v>1</v>
      </c>
      <c r="BE44" s="11">
        <v>1</v>
      </c>
      <c r="BF44" s="11">
        <v>1</v>
      </c>
      <c r="BG44" s="11">
        <v>1</v>
      </c>
      <c r="BH44" s="11">
        <v>0</v>
      </c>
      <c r="BI44" s="11">
        <v>1</v>
      </c>
      <c r="BJ44" s="11">
        <v>2</v>
      </c>
      <c r="BK44" s="11">
        <v>2</v>
      </c>
      <c r="BL44" s="11">
        <v>0</v>
      </c>
      <c r="BM44" s="11">
        <v>1</v>
      </c>
      <c r="BN44" s="11">
        <v>1</v>
      </c>
      <c r="BO44" s="11">
        <v>1</v>
      </c>
      <c r="BP44" s="11">
        <v>1</v>
      </c>
      <c r="BQ44" s="11">
        <v>0</v>
      </c>
      <c r="BR44" s="46">
        <v>1</v>
      </c>
      <c r="BS44" s="20">
        <v>0</v>
      </c>
      <c r="BT44" s="48">
        <v>1</v>
      </c>
      <c r="BU44" s="20">
        <v>0</v>
      </c>
      <c r="BV44" s="20">
        <v>0</v>
      </c>
      <c r="BW44" s="82" t="s">
        <v>357</v>
      </c>
      <c r="BX44" s="28"/>
      <c r="CB44" s="2">
        <f t="shared" si="0"/>
        <v>1</v>
      </c>
      <c r="CC44" s="2">
        <f t="shared" si="1"/>
        <v>1</v>
      </c>
      <c r="CD44" s="2">
        <f t="shared" si="2"/>
        <v>1</v>
      </c>
      <c r="CE44" s="2">
        <f t="shared" si="3"/>
        <v>45</v>
      </c>
      <c r="CF44" s="2" t="str" cm="1">
        <f t="array" ref="CF44">+_xlfn.IFS(Tabell2[[#This Row],[EPD/Miljødeklarasjon - som krav, tildelingskriterium, kontraktsvilkår eller dokumentasjon]]=2,"Ja",Tabell2[[#This Row],[Bærekraftig trevirke/skogbruk - tømmerforordningen, FSC eller PEFC ]]=2,"Ja",Tabell2[[#This Row],[Krav til kvalitet / EN standarder/henvisning til Norsk møbelfakta]]=2,"Ja",Tabell2[[#This Row],[Robuste møbeltekstiler/ kvalitet på møbeltrekk]]=2,"Ja",Tabell2[[#This Row],[Design for lang levetid (Demontering, Reservedeler, produktinformasjon om montering og vedlikehold)]]=2,"Ja",Tabell2[[#This Row],[Merking av plast]]=2,"Ja",Tabell2[[#This Row],[Vask og rengjøring av møbler]]=2,"Ja",Tabell2[[#This Row],[Emballasjen skal være resirkulerbar/ gjenbrukbar (kravet om miljøvennelig emballasje)]]=2,"Ja",Tabell2[[#This Row],[Emballasje (retur- grønt punkt, gjenvinning) (kravet om gjenvinnbar emballasje)]]=2,"Ja",Tabell2[[#This Row],[Kjemikalietabellen (unngå skadelige kjemikaler)]]=2,"Ja",Tabell2[[#This Row],[Flammehemmere]]=2,"Ja",Tabell2[[#This Row],[PVC]]=2,"Ja",Tabell2[[#This Row],[Sosiale hensyn og menneske-rettigheter er inkludert]]=2,"Ja")</f>
        <v>Ja</v>
      </c>
    </row>
    <row r="45" spans="1:84" s="2" customFormat="1" ht="14.45" customHeight="1" x14ac:dyDescent="0.25">
      <c r="A45" s="11">
        <v>2021</v>
      </c>
      <c r="B45" s="11" t="s">
        <v>353</v>
      </c>
      <c r="C45" s="66">
        <v>44220</v>
      </c>
      <c r="D45" s="41" t="s">
        <v>352</v>
      </c>
      <c r="E45" s="68">
        <v>920415288</v>
      </c>
      <c r="F45" s="40" t="s">
        <v>358</v>
      </c>
      <c r="G45" s="73" t="s">
        <v>137</v>
      </c>
      <c r="H45" s="40" t="s">
        <v>99</v>
      </c>
      <c r="I45" s="75">
        <v>39112000</v>
      </c>
      <c r="J45" s="11">
        <v>0</v>
      </c>
      <c r="K45" s="75" t="s">
        <v>75</v>
      </c>
      <c r="L45" s="28" t="s">
        <v>82</v>
      </c>
      <c r="M45" s="75">
        <v>1</v>
      </c>
      <c r="N45" s="78">
        <v>1500000</v>
      </c>
      <c r="O45" s="75">
        <v>1</v>
      </c>
      <c r="P45" s="50" t="s">
        <v>355</v>
      </c>
      <c r="Q45" s="35" t="s">
        <v>356</v>
      </c>
      <c r="R45" s="13"/>
      <c r="S45" s="80">
        <v>0.2</v>
      </c>
      <c r="T45" s="80">
        <v>0.4</v>
      </c>
      <c r="U45" s="80">
        <v>0.39999999999999991</v>
      </c>
      <c r="V45" s="46">
        <v>1</v>
      </c>
      <c r="W45" s="124">
        <v>1</v>
      </c>
      <c r="X45" s="7">
        <v>1</v>
      </c>
      <c r="Y45" s="124">
        <v>1</v>
      </c>
      <c r="Z45" s="129">
        <v>0</v>
      </c>
      <c r="AA45" s="31">
        <v>1</v>
      </c>
      <c r="AB45" s="31">
        <v>0</v>
      </c>
      <c r="AC45" s="31">
        <v>0</v>
      </c>
      <c r="AD45" s="31">
        <v>0</v>
      </c>
      <c r="AE45" s="11">
        <v>0</v>
      </c>
      <c r="AF45" s="11">
        <v>1</v>
      </c>
      <c r="AG45" s="32">
        <v>1</v>
      </c>
      <c r="AH45" s="11">
        <v>1</v>
      </c>
      <c r="AI45" s="11">
        <v>2</v>
      </c>
      <c r="AJ45" s="11">
        <v>1</v>
      </c>
      <c r="AK45" s="11">
        <v>1</v>
      </c>
      <c r="AL45" s="33">
        <v>2</v>
      </c>
      <c r="AM45" s="33">
        <v>0</v>
      </c>
      <c r="AN45" s="33">
        <v>1</v>
      </c>
      <c r="AO45" s="99">
        <v>1</v>
      </c>
      <c r="AP45" s="33">
        <v>1</v>
      </c>
      <c r="AQ45" s="33">
        <v>0</v>
      </c>
      <c r="AR45" s="33">
        <v>0</v>
      </c>
      <c r="AS45" s="33">
        <v>0</v>
      </c>
      <c r="AT45" s="33">
        <v>0</v>
      </c>
      <c r="AU45" s="33">
        <v>0</v>
      </c>
      <c r="AV45" s="11">
        <v>5</v>
      </c>
      <c r="AW45" s="11">
        <v>1</v>
      </c>
      <c r="AX45" s="11">
        <v>1</v>
      </c>
      <c r="AY45" s="11">
        <v>0</v>
      </c>
      <c r="AZ45" s="11">
        <v>1</v>
      </c>
      <c r="BA45" s="7">
        <v>2</v>
      </c>
      <c r="BB45" s="11">
        <v>1</v>
      </c>
      <c r="BC45" s="11">
        <v>2</v>
      </c>
      <c r="BD45" s="11">
        <v>1</v>
      </c>
      <c r="BE45" s="11">
        <v>1</v>
      </c>
      <c r="BF45" s="11">
        <v>1</v>
      </c>
      <c r="BG45" s="11">
        <v>1</v>
      </c>
      <c r="BH45" s="11">
        <v>0</v>
      </c>
      <c r="BI45" s="11">
        <v>1</v>
      </c>
      <c r="BJ45" s="11">
        <v>2</v>
      </c>
      <c r="BK45" s="11">
        <v>2</v>
      </c>
      <c r="BL45" s="11">
        <v>0</v>
      </c>
      <c r="BM45" s="11">
        <v>1</v>
      </c>
      <c r="BN45" s="11">
        <v>1</v>
      </c>
      <c r="BO45" s="11">
        <v>1</v>
      </c>
      <c r="BP45" s="11">
        <v>1</v>
      </c>
      <c r="BQ45" s="11">
        <v>0</v>
      </c>
      <c r="BR45" s="46">
        <v>1</v>
      </c>
      <c r="BS45" s="20">
        <v>0</v>
      </c>
      <c r="BT45" s="48">
        <v>1</v>
      </c>
      <c r="BU45" s="20">
        <v>0</v>
      </c>
      <c r="BV45" s="20">
        <v>0</v>
      </c>
      <c r="BW45" s="82" t="s">
        <v>357</v>
      </c>
      <c r="BX45" s="28"/>
      <c r="CB45" s="2">
        <f t="shared" si="0"/>
        <v>1</v>
      </c>
      <c r="CC45" s="2">
        <f t="shared" si="1"/>
        <v>1</v>
      </c>
      <c r="CD45" s="2">
        <f t="shared" si="2"/>
        <v>1</v>
      </c>
      <c r="CE45" s="2">
        <f t="shared" si="3"/>
        <v>46</v>
      </c>
      <c r="CF45" s="2" t="str" cm="1">
        <f t="array" ref="CF45">+_xlfn.IFS(Tabell2[[#This Row],[EPD/Miljødeklarasjon - som krav, tildelingskriterium, kontraktsvilkår eller dokumentasjon]]=2,"Ja",Tabell2[[#This Row],[Bærekraftig trevirke/skogbruk - tømmerforordningen, FSC eller PEFC ]]=2,"Ja",Tabell2[[#This Row],[Krav til kvalitet / EN standarder/henvisning til Norsk møbelfakta]]=2,"Ja",Tabell2[[#This Row],[Robuste møbeltekstiler/ kvalitet på møbeltrekk]]=2,"Ja",Tabell2[[#This Row],[Design for lang levetid (Demontering, Reservedeler, produktinformasjon om montering og vedlikehold)]]=2,"Ja",Tabell2[[#This Row],[Merking av plast]]=2,"Ja",Tabell2[[#This Row],[Vask og rengjøring av møbler]]=2,"Ja",Tabell2[[#This Row],[Emballasjen skal være resirkulerbar/ gjenbrukbar (kravet om miljøvennelig emballasje)]]=2,"Ja",Tabell2[[#This Row],[Emballasje (retur- grønt punkt, gjenvinning) (kravet om gjenvinnbar emballasje)]]=2,"Ja",Tabell2[[#This Row],[Kjemikalietabellen (unngå skadelige kjemikaler)]]=2,"Ja",Tabell2[[#This Row],[Flammehemmere]]=2,"Ja",Tabell2[[#This Row],[PVC]]=2,"Ja",Tabell2[[#This Row],[Sosiale hensyn og menneske-rettigheter er inkludert]]=2,"Ja")</f>
        <v>Ja</v>
      </c>
    </row>
    <row r="46" spans="1:84" s="2" customFormat="1" ht="14.45" customHeight="1" x14ac:dyDescent="0.25">
      <c r="A46" s="10">
        <v>2021</v>
      </c>
      <c r="B46" s="10" t="s">
        <v>359</v>
      </c>
      <c r="C46" s="60">
        <v>44283</v>
      </c>
      <c r="D46" s="41" t="s">
        <v>352</v>
      </c>
      <c r="E46" s="61">
        <v>920415288</v>
      </c>
      <c r="F46" s="39" t="s">
        <v>360</v>
      </c>
      <c r="G46" s="72" t="s">
        <v>137</v>
      </c>
      <c r="H46" s="39" t="s">
        <v>99</v>
      </c>
      <c r="I46" s="4">
        <v>39100000</v>
      </c>
      <c r="J46" s="10">
        <v>0</v>
      </c>
      <c r="K46" s="4" t="s">
        <v>75</v>
      </c>
      <c r="L46" s="21" t="s">
        <v>82</v>
      </c>
      <c r="M46" s="4">
        <v>1</v>
      </c>
      <c r="N46" s="76">
        <v>3500000</v>
      </c>
      <c r="O46" s="4">
        <v>1</v>
      </c>
      <c r="P46" s="50" t="s">
        <v>361</v>
      </c>
      <c r="Q46" s="35" t="s">
        <v>356</v>
      </c>
      <c r="R46" s="13"/>
      <c r="S46" s="80">
        <v>0.2</v>
      </c>
      <c r="T46" s="80">
        <v>0.4</v>
      </c>
      <c r="U46" s="80">
        <v>0.39999999999999991</v>
      </c>
      <c r="V46" s="45">
        <v>1</v>
      </c>
      <c r="W46" s="123">
        <v>1</v>
      </c>
      <c r="X46" s="2">
        <v>1</v>
      </c>
      <c r="Y46" s="123">
        <v>1</v>
      </c>
      <c r="Z46" s="43">
        <v>0</v>
      </c>
      <c r="AA46" s="17">
        <v>1</v>
      </c>
      <c r="AB46" s="17">
        <v>0</v>
      </c>
      <c r="AC46" s="17">
        <v>0</v>
      </c>
      <c r="AD46" s="17">
        <v>0</v>
      </c>
      <c r="AE46" s="10">
        <v>0</v>
      </c>
      <c r="AF46" s="10">
        <v>1</v>
      </c>
      <c r="AG46" s="14">
        <v>1</v>
      </c>
      <c r="AH46" s="10">
        <v>1</v>
      </c>
      <c r="AI46" s="10">
        <v>2</v>
      </c>
      <c r="AJ46" s="10">
        <v>1</v>
      </c>
      <c r="AK46" s="10">
        <v>1</v>
      </c>
      <c r="AL46" s="15">
        <v>2</v>
      </c>
      <c r="AM46" s="15">
        <v>0</v>
      </c>
      <c r="AN46" s="15">
        <v>1</v>
      </c>
      <c r="AO46" s="98">
        <v>1</v>
      </c>
      <c r="AP46" s="15">
        <v>1</v>
      </c>
      <c r="AQ46" s="15">
        <v>0</v>
      </c>
      <c r="AR46" s="15">
        <v>0</v>
      </c>
      <c r="AS46" s="15">
        <v>0</v>
      </c>
      <c r="AT46" s="15">
        <v>0</v>
      </c>
      <c r="AU46" s="15">
        <v>0</v>
      </c>
      <c r="AV46" s="10">
        <v>5</v>
      </c>
      <c r="AW46" s="10">
        <v>1</v>
      </c>
      <c r="AX46" s="10">
        <v>0</v>
      </c>
      <c r="AY46" s="10">
        <v>0</v>
      </c>
      <c r="AZ46" s="10">
        <v>1</v>
      </c>
      <c r="BA46" s="2">
        <v>2</v>
      </c>
      <c r="BB46" s="10">
        <v>1</v>
      </c>
      <c r="BC46" s="26">
        <v>2</v>
      </c>
      <c r="BD46" s="26">
        <v>1</v>
      </c>
      <c r="BE46" s="26">
        <v>1</v>
      </c>
      <c r="BF46" s="26">
        <v>1</v>
      </c>
      <c r="BG46" s="26">
        <v>1</v>
      </c>
      <c r="BH46" s="26">
        <v>0</v>
      </c>
      <c r="BI46" s="26">
        <v>1</v>
      </c>
      <c r="BJ46" s="26">
        <v>2</v>
      </c>
      <c r="BK46" s="26">
        <v>2</v>
      </c>
      <c r="BL46" s="26">
        <v>0</v>
      </c>
      <c r="BM46" s="26">
        <v>1</v>
      </c>
      <c r="BN46" s="26">
        <v>1</v>
      </c>
      <c r="BO46" s="26">
        <v>1</v>
      </c>
      <c r="BP46" s="26">
        <v>1</v>
      </c>
      <c r="BQ46" s="26">
        <v>0</v>
      </c>
      <c r="BR46" s="45">
        <v>1</v>
      </c>
      <c r="BS46" s="20">
        <v>0</v>
      </c>
      <c r="BT46" s="48">
        <v>1</v>
      </c>
      <c r="BU46" s="20">
        <v>0</v>
      </c>
      <c r="BV46" s="20">
        <v>0</v>
      </c>
      <c r="BW46" s="82" t="s">
        <v>362</v>
      </c>
      <c r="BX46" s="21"/>
      <c r="CB46" s="2">
        <f t="shared" si="0"/>
        <v>1</v>
      </c>
      <c r="CC46" s="2">
        <f t="shared" si="1"/>
        <v>1</v>
      </c>
      <c r="CD46" s="2">
        <f t="shared" si="2"/>
        <v>1</v>
      </c>
      <c r="CE46" s="2">
        <f t="shared" si="3"/>
        <v>47</v>
      </c>
      <c r="CF46" s="2" t="str" cm="1">
        <f t="array" ref="CF46">+_xlfn.IFS(Tabell2[[#This Row],[EPD/Miljødeklarasjon - som krav, tildelingskriterium, kontraktsvilkår eller dokumentasjon]]=2,"Ja",Tabell2[[#This Row],[Bærekraftig trevirke/skogbruk - tømmerforordningen, FSC eller PEFC ]]=2,"Ja",Tabell2[[#This Row],[Krav til kvalitet / EN standarder/henvisning til Norsk møbelfakta]]=2,"Ja",Tabell2[[#This Row],[Robuste møbeltekstiler/ kvalitet på møbeltrekk]]=2,"Ja",Tabell2[[#This Row],[Design for lang levetid (Demontering, Reservedeler, produktinformasjon om montering og vedlikehold)]]=2,"Ja",Tabell2[[#This Row],[Merking av plast]]=2,"Ja",Tabell2[[#This Row],[Vask og rengjøring av møbler]]=2,"Ja",Tabell2[[#This Row],[Emballasjen skal være resirkulerbar/ gjenbrukbar (kravet om miljøvennelig emballasje)]]=2,"Ja",Tabell2[[#This Row],[Emballasje (retur- grønt punkt, gjenvinning) (kravet om gjenvinnbar emballasje)]]=2,"Ja",Tabell2[[#This Row],[Kjemikalietabellen (unngå skadelige kjemikaler)]]=2,"Ja",Tabell2[[#This Row],[Flammehemmere]]=2,"Ja",Tabell2[[#This Row],[PVC]]=2,"Ja",Tabell2[[#This Row],[Sosiale hensyn og menneske-rettigheter er inkludert]]=2,"Ja")</f>
        <v>Ja</v>
      </c>
    </row>
    <row r="47" spans="1:84" s="2" customFormat="1" ht="14.45" customHeight="1" x14ac:dyDescent="0.25">
      <c r="A47" s="10">
        <v>2021</v>
      </c>
      <c r="B47" s="10" t="s">
        <v>359</v>
      </c>
      <c r="C47" s="60">
        <v>44283</v>
      </c>
      <c r="D47" s="41" t="s">
        <v>352</v>
      </c>
      <c r="E47" s="61">
        <v>920415288</v>
      </c>
      <c r="F47" s="39" t="s">
        <v>363</v>
      </c>
      <c r="G47" s="72" t="s">
        <v>137</v>
      </c>
      <c r="H47" s="39" t="s">
        <v>99</v>
      </c>
      <c r="I47" s="4">
        <v>39100000</v>
      </c>
      <c r="J47" s="10">
        <v>0</v>
      </c>
      <c r="K47" s="4" t="s">
        <v>75</v>
      </c>
      <c r="L47" s="21" t="s">
        <v>82</v>
      </c>
      <c r="M47" s="4">
        <v>1</v>
      </c>
      <c r="N47" s="76">
        <v>1500000</v>
      </c>
      <c r="O47" s="4">
        <v>1</v>
      </c>
      <c r="P47" s="50" t="s">
        <v>361</v>
      </c>
      <c r="Q47" s="35" t="s">
        <v>356</v>
      </c>
      <c r="R47" s="13"/>
      <c r="S47" s="80">
        <v>0.2</v>
      </c>
      <c r="T47" s="80">
        <v>0.4</v>
      </c>
      <c r="U47" s="80">
        <v>0.39999999999999991</v>
      </c>
      <c r="V47" s="45">
        <v>1</v>
      </c>
      <c r="W47" s="123">
        <v>1</v>
      </c>
      <c r="X47" s="2">
        <v>1</v>
      </c>
      <c r="Y47" s="123">
        <v>1</v>
      </c>
      <c r="Z47" s="43">
        <v>0</v>
      </c>
      <c r="AA47" s="17">
        <v>1</v>
      </c>
      <c r="AB47" s="17">
        <v>0</v>
      </c>
      <c r="AC47" s="17">
        <v>0</v>
      </c>
      <c r="AD47" s="17">
        <v>0</v>
      </c>
      <c r="AE47" s="10">
        <v>0</v>
      </c>
      <c r="AF47" s="10">
        <v>1</v>
      </c>
      <c r="AG47" s="14">
        <v>1</v>
      </c>
      <c r="AH47" s="10">
        <v>1</v>
      </c>
      <c r="AI47" s="10">
        <v>2</v>
      </c>
      <c r="AJ47" s="10">
        <v>1</v>
      </c>
      <c r="AK47" s="10">
        <v>1</v>
      </c>
      <c r="AL47" s="15">
        <v>2</v>
      </c>
      <c r="AM47" s="15">
        <v>0</v>
      </c>
      <c r="AN47" s="15">
        <v>1</v>
      </c>
      <c r="AO47" s="98">
        <v>1</v>
      </c>
      <c r="AP47" s="15">
        <v>1</v>
      </c>
      <c r="AQ47" s="15">
        <v>0</v>
      </c>
      <c r="AR47" s="15">
        <v>0</v>
      </c>
      <c r="AS47" s="15">
        <v>0</v>
      </c>
      <c r="AT47" s="15">
        <v>0</v>
      </c>
      <c r="AU47" s="15">
        <v>0</v>
      </c>
      <c r="AV47" s="10">
        <v>5</v>
      </c>
      <c r="AW47" s="10">
        <v>1</v>
      </c>
      <c r="AX47" s="10">
        <v>0</v>
      </c>
      <c r="AY47" s="10">
        <v>0</v>
      </c>
      <c r="AZ47" s="10">
        <v>1</v>
      </c>
      <c r="BA47" s="2">
        <v>2</v>
      </c>
      <c r="BB47" s="10">
        <v>1</v>
      </c>
      <c r="BC47" s="26">
        <v>2</v>
      </c>
      <c r="BD47" s="26">
        <v>1</v>
      </c>
      <c r="BE47" s="26">
        <v>1</v>
      </c>
      <c r="BF47" s="26">
        <v>1</v>
      </c>
      <c r="BG47" s="26">
        <v>1</v>
      </c>
      <c r="BH47" s="26">
        <v>0</v>
      </c>
      <c r="BI47" s="26">
        <v>1</v>
      </c>
      <c r="BJ47" s="26">
        <v>2</v>
      </c>
      <c r="BK47" s="26">
        <v>2</v>
      </c>
      <c r="BL47" s="26">
        <v>0</v>
      </c>
      <c r="BM47" s="26">
        <v>1</v>
      </c>
      <c r="BN47" s="26">
        <v>1</v>
      </c>
      <c r="BO47" s="26">
        <v>1</v>
      </c>
      <c r="BP47" s="26">
        <v>1</v>
      </c>
      <c r="BQ47" s="26">
        <v>0</v>
      </c>
      <c r="BR47" s="45">
        <v>1</v>
      </c>
      <c r="BS47" s="20">
        <v>0</v>
      </c>
      <c r="BT47" s="48">
        <v>1</v>
      </c>
      <c r="BU47" s="20">
        <v>0</v>
      </c>
      <c r="BV47" s="20">
        <v>0</v>
      </c>
      <c r="BW47" s="82" t="s">
        <v>362</v>
      </c>
      <c r="BX47" s="21"/>
      <c r="CB47" s="2">
        <f t="shared" si="0"/>
        <v>1</v>
      </c>
      <c r="CC47" s="2">
        <f t="shared" si="1"/>
        <v>1</v>
      </c>
      <c r="CD47" s="2">
        <f t="shared" si="2"/>
        <v>1</v>
      </c>
      <c r="CE47" s="2">
        <f t="shared" si="3"/>
        <v>48</v>
      </c>
      <c r="CF47" s="2" t="str" cm="1">
        <f t="array" ref="CF47">+_xlfn.IFS(Tabell2[[#This Row],[EPD/Miljødeklarasjon - som krav, tildelingskriterium, kontraktsvilkår eller dokumentasjon]]=2,"Ja",Tabell2[[#This Row],[Bærekraftig trevirke/skogbruk - tømmerforordningen, FSC eller PEFC ]]=2,"Ja",Tabell2[[#This Row],[Krav til kvalitet / EN standarder/henvisning til Norsk møbelfakta]]=2,"Ja",Tabell2[[#This Row],[Robuste møbeltekstiler/ kvalitet på møbeltrekk]]=2,"Ja",Tabell2[[#This Row],[Design for lang levetid (Demontering, Reservedeler, produktinformasjon om montering og vedlikehold)]]=2,"Ja",Tabell2[[#This Row],[Merking av plast]]=2,"Ja",Tabell2[[#This Row],[Vask og rengjøring av møbler]]=2,"Ja",Tabell2[[#This Row],[Emballasjen skal være resirkulerbar/ gjenbrukbar (kravet om miljøvennelig emballasje)]]=2,"Ja",Tabell2[[#This Row],[Emballasje (retur- grønt punkt, gjenvinning) (kravet om gjenvinnbar emballasje)]]=2,"Ja",Tabell2[[#This Row],[Kjemikalietabellen (unngå skadelige kjemikaler)]]=2,"Ja",Tabell2[[#This Row],[Flammehemmere]]=2,"Ja",Tabell2[[#This Row],[PVC]]=2,"Ja",Tabell2[[#This Row],[Sosiale hensyn og menneske-rettigheter er inkludert]]=2,"Ja")</f>
        <v>Ja</v>
      </c>
    </row>
    <row r="48" spans="1:84" s="2" customFormat="1" ht="14.45" customHeight="1" x14ac:dyDescent="0.25">
      <c r="A48" s="10">
        <v>2021</v>
      </c>
      <c r="B48" s="10" t="s">
        <v>364</v>
      </c>
      <c r="C48" s="60">
        <v>44378</v>
      </c>
      <c r="D48" s="41" t="s">
        <v>352</v>
      </c>
      <c r="E48" s="61">
        <v>920415288</v>
      </c>
      <c r="F48" s="39" t="s">
        <v>365</v>
      </c>
      <c r="G48" s="72" t="s">
        <v>137</v>
      </c>
      <c r="H48" s="39" t="s">
        <v>99</v>
      </c>
      <c r="I48" s="4">
        <v>39130000</v>
      </c>
      <c r="J48" s="10">
        <v>0</v>
      </c>
      <c r="K48" s="4" t="s">
        <v>75</v>
      </c>
      <c r="L48" s="21" t="s">
        <v>82</v>
      </c>
      <c r="M48" s="4">
        <v>0</v>
      </c>
      <c r="N48" s="76">
        <v>14000000</v>
      </c>
      <c r="O48" s="4">
        <v>1</v>
      </c>
      <c r="P48" s="50" t="s">
        <v>366</v>
      </c>
      <c r="Q48" s="35" t="s">
        <v>356</v>
      </c>
      <c r="R48" s="13"/>
      <c r="S48" s="80">
        <v>0.2</v>
      </c>
      <c r="T48" s="80">
        <v>0.4</v>
      </c>
      <c r="U48" s="80">
        <v>0.39999999999999991</v>
      </c>
      <c r="V48" s="45">
        <v>1</v>
      </c>
      <c r="W48" s="123">
        <v>1</v>
      </c>
      <c r="X48" s="2">
        <v>1</v>
      </c>
      <c r="Y48" s="123">
        <v>1</v>
      </c>
      <c r="Z48" s="43">
        <v>0</v>
      </c>
      <c r="AA48" s="17">
        <v>0</v>
      </c>
      <c r="AB48" s="17">
        <v>0</v>
      </c>
      <c r="AC48" s="17">
        <v>1</v>
      </c>
      <c r="AD48" s="17">
        <v>0</v>
      </c>
      <c r="AE48" s="10">
        <v>0</v>
      </c>
      <c r="AF48" s="10">
        <v>1</v>
      </c>
      <c r="AG48" s="14">
        <v>1</v>
      </c>
      <c r="AH48" s="10">
        <v>1</v>
      </c>
      <c r="AI48" s="10">
        <v>1</v>
      </c>
      <c r="AJ48" s="10">
        <v>0</v>
      </c>
      <c r="AK48" s="10">
        <v>2</v>
      </c>
      <c r="AL48" s="15">
        <v>2</v>
      </c>
      <c r="AM48" s="15">
        <v>0</v>
      </c>
      <c r="AN48" s="15">
        <v>1</v>
      </c>
      <c r="AO48" s="98">
        <v>1</v>
      </c>
      <c r="AP48" s="15">
        <v>0</v>
      </c>
      <c r="AQ48" s="15">
        <v>0</v>
      </c>
      <c r="AR48" s="15">
        <v>0</v>
      </c>
      <c r="AS48" s="15">
        <v>0</v>
      </c>
      <c r="AT48" s="15">
        <v>0</v>
      </c>
      <c r="AU48" s="15">
        <v>0</v>
      </c>
      <c r="AV48" s="10">
        <v>5</v>
      </c>
      <c r="AW48" s="10">
        <v>1</v>
      </c>
      <c r="AX48" s="10">
        <v>0</v>
      </c>
      <c r="AY48" s="10">
        <v>0</v>
      </c>
      <c r="AZ48" s="10">
        <v>1</v>
      </c>
      <c r="BA48" s="2">
        <v>1</v>
      </c>
      <c r="BB48" s="10">
        <v>1</v>
      </c>
      <c r="BC48" s="10">
        <v>2</v>
      </c>
      <c r="BD48" s="10">
        <v>1</v>
      </c>
      <c r="BE48" s="26">
        <v>1</v>
      </c>
      <c r="BF48" s="26">
        <v>1</v>
      </c>
      <c r="BG48" s="26">
        <v>1</v>
      </c>
      <c r="BH48" s="26">
        <v>0</v>
      </c>
      <c r="BI48" s="26">
        <v>1</v>
      </c>
      <c r="BJ48" s="26">
        <v>2</v>
      </c>
      <c r="BK48" s="26">
        <v>2</v>
      </c>
      <c r="BL48" s="26">
        <v>0</v>
      </c>
      <c r="BM48" s="26">
        <v>1</v>
      </c>
      <c r="BN48" s="26">
        <v>1</v>
      </c>
      <c r="BO48" s="26">
        <v>1</v>
      </c>
      <c r="BP48" s="26">
        <v>1</v>
      </c>
      <c r="BQ48" s="26">
        <v>0</v>
      </c>
      <c r="BR48" s="45">
        <v>1</v>
      </c>
      <c r="BS48" s="20">
        <v>0</v>
      </c>
      <c r="BT48" s="48">
        <v>1</v>
      </c>
      <c r="BU48" s="20">
        <v>0</v>
      </c>
      <c r="BV48" s="20">
        <v>0</v>
      </c>
      <c r="BW48" s="82" t="s">
        <v>367</v>
      </c>
      <c r="BX48" s="21"/>
      <c r="CB48" s="2">
        <f t="shared" si="0"/>
        <v>1</v>
      </c>
      <c r="CC48" s="2">
        <f t="shared" si="1"/>
        <v>1</v>
      </c>
      <c r="CD48" s="2">
        <f t="shared" si="2"/>
        <v>1</v>
      </c>
      <c r="CE48" s="2">
        <f t="shared" si="3"/>
        <v>49</v>
      </c>
      <c r="CF48" s="2" t="str" cm="1">
        <f t="array" ref="CF48">+_xlfn.IFS(Tabell2[[#This Row],[EPD/Miljødeklarasjon - som krav, tildelingskriterium, kontraktsvilkår eller dokumentasjon]]=2,"Ja",Tabell2[[#This Row],[Bærekraftig trevirke/skogbruk - tømmerforordningen, FSC eller PEFC ]]=2,"Ja",Tabell2[[#This Row],[Krav til kvalitet / EN standarder/henvisning til Norsk møbelfakta]]=2,"Ja",Tabell2[[#This Row],[Robuste møbeltekstiler/ kvalitet på møbeltrekk]]=2,"Ja",Tabell2[[#This Row],[Design for lang levetid (Demontering, Reservedeler, produktinformasjon om montering og vedlikehold)]]=2,"Ja",Tabell2[[#This Row],[Merking av plast]]=2,"Ja",Tabell2[[#This Row],[Vask og rengjøring av møbler]]=2,"Ja",Tabell2[[#This Row],[Emballasjen skal være resirkulerbar/ gjenbrukbar (kravet om miljøvennelig emballasje)]]=2,"Ja",Tabell2[[#This Row],[Emballasje (retur- grønt punkt, gjenvinning) (kravet om gjenvinnbar emballasje)]]=2,"Ja",Tabell2[[#This Row],[Kjemikalietabellen (unngå skadelige kjemikaler)]]=2,"Ja",Tabell2[[#This Row],[Flammehemmere]]=2,"Ja",Tabell2[[#This Row],[PVC]]=2,"Ja",Tabell2[[#This Row],[Sosiale hensyn og menneske-rettigheter er inkludert]]=2,"Ja")</f>
        <v>Ja</v>
      </c>
    </row>
    <row r="49" spans="1:84" s="2" customFormat="1" ht="14.45" customHeight="1" x14ac:dyDescent="0.25">
      <c r="A49" s="10">
        <v>2021</v>
      </c>
      <c r="B49" s="10" t="s">
        <v>206</v>
      </c>
      <c r="C49" s="60">
        <v>44216</v>
      </c>
      <c r="D49" s="37" t="s">
        <v>207</v>
      </c>
      <c r="E49" s="61">
        <v>988983837</v>
      </c>
      <c r="F49" s="36" t="s">
        <v>208</v>
      </c>
      <c r="G49" s="69" t="s">
        <v>122</v>
      </c>
      <c r="H49" s="36" t="s">
        <v>80</v>
      </c>
      <c r="I49" s="4">
        <v>39130000</v>
      </c>
      <c r="J49" s="10">
        <v>0</v>
      </c>
      <c r="K49" s="4" t="s">
        <v>75</v>
      </c>
      <c r="L49" s="21" t="s">
        <v>82</v>
      </c>
      <c r="M49" s="4">
        <v>0</v>
      </c>
      <c r="N49" s="76">
        <v>4000000</v>
      </c>
      <c r="O49" s="4">
        <v>1</v>
      </c>
      <c r="P49" s="49" t="s">
        <v>209</v>
      </c>
      <c r="Q49" s="35" t="s">
        <v>210</v>
      </c>
      <c r="R49" s="13"/>
      <c r="S49" s="80">
        <v>0.2</v>
      </c>
      <c r="T49" s="80">
        <v>0.3</v>
      </c>
      <c r="U49" s="80">
        <v>0.5</v>
      </c>
      <c r="V49" s="45">
        <v>1</v>
      </c>
      <c r="W49" s="123">
        <v>1</v>
      </c>
      <c r="X49" s="2">
        <v>1</v>
      </c>
      <c r="Y49" s="123">
        <v>0</v>
      </c>
      <c r="Z49" s="43">
        <v>0</v>
      </c>
      <c r="AA49" s="17">
        <v>1</v>
      </c>
      <c r="AB49" s="17">
        <v>0</v>
      </c>
      <c r="AC49" s="17">
        <v>1</v>
      </c>
      <c r="AD49" s="17">
        <v>0</v>
      </c>
      <c r="AE49" s="10">
        <v>0</v>
      </c>
      <c r="AF49" s="10">
        <v>0</v>
      </c>
      <c r="AG49" s="14">
        <v>0</v>
      </c>
      <c r="AH49" s="10">
        <v>1</v>
      </c>
      <c r="AI49" s="10">
        <v>0</v>
      </c>
      <c r="AJ49" s="10">
        <v>1</v>
      </c>
      <c r="AK49" s="10">
        <v>1</v>
      </c>
      <c r="AL49" s="15">
        <v>1</v>
      </c>
      <c r="AM49" s="15">
        <v>0</v>
      </c>
      <c r="AN49" s="15">
        <v>1</v>
      </c>
      <c r="AO49" s="98">
        <v>1</v>
      </c>
      <c r="AP49" s="15">
        <v>0</v>
      </c>
      <c r="AQ49" s="15">
        <v>0</v>
      </c>
      <c r="AR49" s="15">
        <v>0</v>
      </c>
      <c r="AS49" s="15">
        <v>0</v>
      </c>
      <c r="AT49" s="15">
        <v>0</v>
      </c>
      <c r="AU49" s="15">
        <v>0</v>
      </c>
      <c r="AV49" s="10">
        <v>5</v>
      </c>
      <c r="AW49" s="10">
        <v>0</v>
      </c>
      <c r="AX49" s="10">
        <v>0</v>
      </c>
      <c r="AY49" s="10">
        <v>0</v>
      </c>
      <c r="AZ49" s="10">
        <v>0</v>
      </c>
      <c r="BA49" s="2">
        <v>0</v>
      </c>
      <c r="BB49" s="10">
        <v>1</v>
      </c>
      <c r="BC49" s="10">
        <v>0</v>
      </c>
      <c r="BD49" s="10">
        <v>1</v>
      </c>
      <c r="BE49" s="10">
        <v>1</v>
      </c>
      <c r="BF49" s="10">
        <v>1</v>
      </c>
      <c r="BG49" s="10">
        <v>0</v>
      </c>
      <c r="BH49" s="10">
        <v>0</v>
      </c>
      <c r="BI49" s="10">
        <v>0</v>
      </c>
      <c r="BJ49" s="10">
        <v>0</v>
      </c>
      <c r="BK49" s="10">
        <v>0</v>
      </c>
      <c r="BL49" s="10">
        <v>0</v>
      </c>
      <c r="BM49" s="10">
        <v>0</v>
      </c>
      <c r="BN49" s="10">
        <v>1</v>
      </c>
      <c r="BO49" s="10">
        <v>0</v>
      </c>
      <c r="BP49" s="10">
        <v>0</v>
      </c>
      <c r="BQ49" s="10">
        <v>0</v>
      </c>
      <c r="BR49" s="45">
        <v>0</v>
      </c>
      <c r="BS49" s="20">
        <v>0</v>
      </c>
      <c r="BT49" s="48">
        <v>0</v>
      </c>
      <c r="BU49" s="20">
        <v>0</v>
      </c>
      <c r="BV49" s="20">
        <v>0</v>
      </c>
      <c r="BW49" s="82" t="s">
        <v>93</v>
      </c>
      <c r="BX49" s="21"/>
      <c r="CB49" s="2">
        <f t="shared" si="0"/>
        <v>1</v>
      </c>
      <c r="CC49" s="2">
        <f t="shared" si="1"/>
        <v>1</v>
      </c>
      <c r="CD49" s="2">
        <f t="shared" si="2"/>
        <v>1</v>
      </c>
      <c r="CE49" s="2">
        <f t="shared" si="3"/>
        <v>50</v>
      </c>
      <c r="CF49" s="2" t="e" cm="1">
        <f t="array" ref="CF49">+_xlfn.IFS(Tabell2[[#This Row],[EPD/Miljødeklarasjon - som krav, tildelingskriterium, kontraktsvilkår eller dokumentasjon]]=2,"Ja",Tabell2[[#This Row],[Bærekraftig trevirke/skogbruk - tømmerforordningen, FSC eller PEFC ]]=2,"Ja",Tabell2[[#This Row],[Krav til kvalitet / EN standarder/henvisning til Norsk møbelfakta]]=2,"Ja",Tabell2[[#This Row],[Robuste møbeltekstiler/ kvalitet på møbeltrekk]]=2,"Ja",Tabell2[[#This Row],[Design for lang levetid (Demontering, Reservedeler, produktinformasjon om montering og vedlikehold)]]=2,"Ja",Tabell2[[#This Row],[Merking av plast]]=2,"Ja",Tabell2[[#This Row],[Vask og rengjøring av møbler]]=2,"Ja",Tabell2[[#This Row],[Emballasjen skal være resirkulerbar/ gjenbrukbar (kravet om miljøvennelig emballasje)]]=2,"Ja",Tabell2[[#This Row],[Emballasje (retur- grønt punkt, gjenvinning) (kravet om gjenvinnbar emballasje)]]=2,"Ja",Tabell2[[#This Row],[Kjemikalietabellen (unngå skadelige kjemikaler)]]=2,"Ja",Tabell2[[#This Row],[Flammehemmere]]=2,"Ja",Tabell2[[#This Row],[PVC]]=2,"Ja",Tabell2[[#This Row],[Sosiale hensyn og menneske-rettigheter er inkludert]]=2,"Ja")</f>
        <v>#N/A</v>
      </c>
    </row>
    <row r="50" spans="1:84" s="2" customFormat="1" ht="14.45" customHeight="1" x14ac:dyDescent="0.25">
      <c r="A50" s="10">
        <v>2021</v>
      </c>
      <c r="B50" s="10" t="s">
        <v>237</v>
      </c>
      <c r="C50" s="60">
        <v>44234</v>
      </c>
      <c r="D50" s="41" t="s">
        <v>238</v>
      </c>
      <c r="E50" s="61">
        <v>974761157</v>
      </c>
      <c r="F50" s="39" t="s">
        <v>239</v>
      </c>
      <c r="G50" s="72" t="s">
        <v>118</v>
      </c>
      <c r="H50" s="39" t="s">
        <v>80</v>
      </c>
      <c r="I50" s="4">
        <v>39100000</v>
      </c>
      <c r="J50" s="10">
        <v>0</v>
      </c>
      <c r="K50" s="4" t="s">
        <v>75</v>
      </c>
      <c r="L50" s="21" t="s">
        <v>86</v>
      </c>
      <c r="M50" s="4">
        <v>0</v>
      </c>
      <c r="N50" s="76">
        <v>145000000</v>
      </c>
      <c r="O50" s="4">
        <v>1</v>
      </c>
      <c r="P50" s="50" t="s">
        <v>240</v>
      </c>
      <c r="Q50" s="35" t="s">
        <v>241</v>
      </c>
      <c r="R50" s="13"/>
      <c r="S50" s="80">
        <v>0</v>
      </c>
      <c r="T50" s="80">
        <v>0.5</v>
      </c>
      <c r="U50" s="80">
        <v>0.5</v>
      </c>
      <c r="V50" s="45">
        <v>0</v>
      </c>
      <c r="W50" s="123">
        <v>0</v>
      </c>
      <c r="X50" s="2">
        <v>0</v>
      </c>
      <c r="Y50" s="123">
        <v>1</v>
      </c>
      <c r="Z50" s="43">
        <v>0</v>
      </c>
      <c r="AA50" s="17">
        <v>1</v>
      </c>
      <c r="AB50" s="17">
        <v>0</v>
      </c>
      <c r="AC50" s="17">
        <v>1</v>
      </c>
      <c r="AD50" s="17">
        <v>0</v>
      </c>
      <c r="AE50" s="10">
        <v>0</v>
      </c>
      <c r="AF50" s="10">
        <v>1</v>
      </c>
      <c r="AG50" s="14">
        <v>0</v>
      </c>
      <c r="AH50" s="10">
        <v>1</v>
      </c>
      <c r="AI50" s="10">
        <v>1</v>
      </c>
      <c r="AJ50" s="10">
        <v>1</v>
      </c>
      <c r="AK50" s="10">
        <v>1</v>
      </c>
      <c r="AL50" s="15">
        <v>2</v>
      </c>
      <c r="AM50" s="15">
        <v>0</v>
      </c>
      <c r="AN50" s="15">
        <v>0</v>
      </c>
      <c r="AO50" s="98">
        <v>1</v>
      </c>
      <c r="AP50" s="15">
        <v>0</v>
      </c>
      <c r="AQ50" s="15">
        <v>0</v>
      </c>
      <c r="AR50" s="15">
        <v>1</v>
      </c>
      <c r="AS50" s="15">
        <v>0</v>
      </c>
      <c r="AT50" s="15">
        <v>0</v>
      </c>
      <c r="AU50" s="15">
        <v>0</v>
      </c>
      <c r="AV50" s="10">
        <v>5</v>
      </c>
      <c r="AW50" s="10">
        <v>0</v>
      </c>
      <c r="AX50" s="10">
        <v>0</v>
      </c>
      <c r="AY50" s="10">
        <v>0</v>
      </c>
      <c r="AZ50" s="10">
        <v>1</v>
      </c>
      <c r="BA50" s="2">
        <v>0</v>
      </c>
      <c r="BB50" s="10">
        <v>1</v>
      </c>
      <c r="BC50" s="10">
        <v>0</v>
      </c>
      <c r="BD50" s="10">
        <v>1</v>
      </c>
      <c r="BE50" s="10">
        <v>0</v>
      </c>
      <c r="BF50" s="10">
        <v>1</v>
      </c>
      <c r="BG50" s="10">
        <v>0</v>
      </c>
      <c r="BH50" s="10">
        <v>1</v>
      </c>
      <c r="BI50" s="10">
        <v>0</v>
      </c>
      <c r="BJ50" s="10">
        <v>1</v>
      </c>
      <c r="BK50" s="10">
        <v>0</v>
      </c>
      <c r="BL50" s="10">
        <v>0</v>
      </c>
      <c r="BM50" s="10">
        <v>0</v>
      </c>
      <c r="BN50" s="10">
        <v>1</v>
      </c>
      <c r="BO50" s="10">
        <v>0</v>
      </c>
      <c r="BP50" s="10">
        <v>0</v>
      </c>
      <c r="BQ50" s="10">
        <v>0</v>
      </c>
      <c r="BR50" s="45">
        <v>1</v>
      </c>
      <c r="BS50" s="20">
        <v>0</v>
      </c>
      <c r="BT50" s="48">
        <v>1</v>
      </c>
      <c r="BU50" s="20">
        <v>0</v>
      </c>
      <c r="BV50" s="20">
        <v>0</v>
      </c>
      <c r="BW50" s="82" t="s">
        <v>242</v>
      </c>
      <c r="BX50" s="21"/>
      <c r="CB50" s="2">
        <f t="shared" si="0"/>
        <v>1</v>
      </c>
      <c r="CC50" s="2">
        <f t="shared" si="1"/>
        <v>1</v>
      </c>
      <c r="CD50" s="2">
        <f t="shared" si="2"/>
        <v>1</v>
      </c>
      <c r="CE50" s="2">
        <f t="shared" si="3"/>
        <v>51</v>
      </c>
      <c r="CF50" s="2" t="str" cm="1">
        <f t="array" ref="CF50">+_xlfn.IFS(Tabell2[[#This Row],[EPD/Miljødeklarasjon - som krav, tildelingskriterium, kontraktsvilkår eller dokumentasjon]]=2,"Ja",Tabell2[[#This Row],[Bærekraftig trevirke/skogbruk - tømmerforordningen, FSC eller PEFC ]]=2,"Ja",Tabell2[[#This Row],[Krav til kvalitet / EN standarder/henvisning til Norsk møbelfakta]]=2,"Ja",Tabell2[[#This Row],[Robuste møbeltekstiler/ kvalitet på møbeltrekk]]=2,"Ja",Tabell2[[#This Row],[Design for lang levetid (Demontering, Reservedeler, produktinformasjon om montering og vedlikehold)]]=2,"Ja",Tabell2[[#This Row],[Merking av plast]]=2,"Ja",Tabell2[[#This Row],[Vask og rengjøring av møbler]]=2,"Ja",Tabell2[[#This Row],[Emballasjen skal være resirkulerbar/ gjenbrukbar (kravet om miljøvennelig emballasje)]]=2,"Ja",Tabell2[[#This Row],[Emballasje (retur- grønt punkt, gjenvinning) (kravet om gjenvinnbar emballasje)]]=2,"Ja",Tabell2[[#This Row],[Kjemikalietabellen (unngå skadelige kjemikaler)]]=2,"Ja",Tabell2[[#This Row],[Flammehemmere]]=2,"Ja",Tabell2[[#This Row],[PVC]]=2,"Ja",Tabell2[[#This Row],[Sosiale hensyn og menneske-rettigheter er inkludert]]=2,"Ja")</f>
        <v>Ja</v>
      </c>
    </row>
    <row r="51" spans="1:84" s="7" customFormat="1" ht="14.45" customHeight="1" x14ac:dyDescent="0.25">
      <c r="A51" s="10">
        <v>2021</v>
      </c>
      <c r="B51" s="10" t="s">
        <v>254</v>
      </c>
      <c r="C51" s="60">
        <v>44241</v>
      </c>
      <c r="D51" s="41" t="s">
        <v>255</v>
      </c>
      <c r="E51" s="61">
        <v>874761222</v>
      </c>
      <c r="F51" s="39" t="s">
        <v>256</v>
      </c>
      <c r="G51" s="72" t="s">
        <v>118</v>
      </c>
      <c r="H51" s="39" t="s">
        <v>80</v>
      </c>
      <c r="I51" s="4">
        <v>39130000</v>
      </c>
      <c r="J51" s="10">
        <v>0</v>
      </c>
      <c r="K51" s="4" t="s">
        <v>75</v>
      </c>
      <c r="L51" s="21" t="s">
        <v>82</v>
      </c>
      <c r="M51" s="4">
        <v>0</v>
      </c>
      <c r="N51" s="76">
        <v>1500000</v>
      </c>
      <c r="O51" s="4">
        <v>1</v>
      </c>
      <c r="P51" s="50" t="s">
        <v>257</v>
      </c>
      <c r="Q51" s="35" t="s">
        <v>258</v>
      </c>
      <c r="R51" s="13"/>
      <c r="S51" s="80">
        <v>0</v>
      </c>
      <c r="T51" s="80">
        <v>0.3</v>
      </c>
      <c r="U51" s="80">
        <v>0.7</v>
      </c>
      <c r="V51" s="45">
        <v>0</v>
      </c>
      <c r="W51" s="123">
        <v>0</v>
      </c>
      <c r="X51" s="2">
        <v>0</v>
      </c>
      <c r="Y51" s="123">
        <v>0</v>
      </c>
      <c r="Z51" s="43">
        <v>0</v>
      </c>
      <c r="AA51" s="17">
        <v>1</v>
      </c>
      <c r="AB51" s="17">
        <v>0</v>
      </c>
      <c r="AC51" s="17">
        <v>0</v>
      </c>
      <c r="AD51" s="17">
        <v>0</v>
      </c>
      <c r="AE51" s="10">
        <v>0</v>
      </c>
      <c r="AF51" s="10">
        <v>0</v>
      </c>
      <c r="AG51" s="14">
        <v>0</v>
      </c>
      <c r="AH51" s="10">
        <v>1</v>
      </c>
      <c r="AI51" s="10">
        <v>1</v>
      </c>
      <c r="AJ51" s="10">
        <v>1</v>
      </c>
      <c r="AK51" s="10">
        <v>0</v>
      </c>
      <c r="AL51" s="15">
        <v>0</v>
      </c>
      <c r="AM51" s="15">
        <v>0</v>
      </c>
      <c r="AN51" s="15">
        <v>0</v>
      </c>
      <c r="AO51" s="98">
        <v>1</v>
      </c>
      <c r="AP51" s="15">
        <v>1</v>
      </c>
      <c r="AQ51" s="15">
        <v>0</v>
      </c>
      <c r="AR51" s="15">
        <v>0</v>
      </c>
      <c r="AS51" s="15">
        <v>0</v>
      </c>
      <c r="AT51" s="15">
        <v>0</v>
      </c>
      <c r="AU51" s="15">
        <v>0</v>
      </c>
      <c r="AV51" s="10">
        <v>5</v>
      </c>
      <c r="AW51" s="10">
        <v>0</v>
      </c>
      <c r="AX51" s="10">
        <v>0</v>
      </c>
      <c r="AY51" s="10">
        <v>0</v>
      </c>
      <c r="AZ51" s="10">
        <v>1</v>
      </c>
      <c r="BA51" s="2">
        <v>0</v>
      </c>
      <c r="BB51" s="10">
        <v>1</v>
      </c>
      <c r="BC51" s="10">
        <v>0</v>
      </c>
      <c r="BD51" s="10">
        <v>1</v>
      </c>
      <c r="BE51" s="10">
        <v>1</v>
      </c>
      <c r="BF51" s="10">
        <v>1</v>
      </c>
      <c r="BG51" s="10">
        <v>0</v>
      </c>
      <c r="BH51" s="10">
        <v>1</v>
      </c>
      <c r="BI51" s="10">
        <v>1</v>
      </c>
      <c r="BJ51" s="10">
        <v>1</v>
      </c>
      <c r="BK51" s="10">
        <v>0</v>
      </c>
      <c r="BL51" s="10">
        <v>0</v>
      </c>
      <c r="BM51" s="10">
        <v>0</v>
      </c>
      <c r="BN51" s="10">
        <v>0</v>
      </c>
      <c r="BO51" s="10">
        <v>0</v>
      </c>
      <c r="BP51" s="10">
        <v>0</v>
      </c>
      <c r="BQ51" s="10">
        <v>0</v>
      </c>
      <c r="BR51" s="45">
        <v>1</v>
      </c>
      <c r="BS51" s="20">
        <v>0</v>
      </c>
      <c r="BT51" s="48">
        <v>0</v>
      </c>
      <c r="BU51" s="20">
        <v>0</v>
      </c>
      <c r="BV51" s="20">
        <v>1</v>
      </c>
      <c r="BW51" s="82" t="s">
        <v>259</v>
      </c>
      <c r="BX51" s="21"/>
      <c r="CB51" s="2">
        <f t="shared" si="0"/>
        <v>1</v>
      </c>
      <c r="CC51" s="2">
        <f t="shared" si="1"/>
        <v>1</v>
      </c>
      <c r="CD51" s="2">
        <f t="shared" si="2"/>
        <v>0</v>
      </c>
      <c r="CE51" s="2">
        <f t="shared" si="3"/>
        <v>52</v>
      </c>
      <c r="CF51" s="2" t="e" cm="1">
        <f t="array" ref="CF51">+_xlfn.IFS(Tabell2[[#This Row],[EPD/Miljødeklarasjon - som krav, tildelingskriterium, kontraktsvilkår eller dokumentasjon]]=2,"Ja",Tabell2[[#This Row],[Bærekraftig trevirke/skogbruk - tømmerforordningen, FSC eller PEFC ]]=2,"Ja",Tabell2[[#This Row],[Krav til kvalitet / EN standarder/henvisning til Norsk møbelfakta]]=2,"Ja",Tabell2[[#This Row],[Robuste møbeltekstiler/ kvalitet på møbeltrekk]]=2,"Ja",Tabell2[[#This Row],[Design for lang levetid (Demontering, Reservedeler, produktinformasjon om montering og vedlikehold)]]=2,"Ja",Tabell2[[#This Row],[Merking av plast]]=2,"Ja",Tabell2[[#This Row],[Vask og rengjøring av møbler]]=2,"Ja",Tabell2[[#This Row],[Emballasjen skal være resirkulerbar/ gjenbrukbar (kravet om miljøvennelig emballasje)]]=2,"Ja",Tabell2[[#This Row],[Emballasje (retur- grønt punkt, gjenvinning) (kravet om gjenvinnbar emballasje)]]=2,"Ja",Tabell2[[#This Row],[Kjemikalietabellen (unngå skadelige kjemikaler)]]=2,"Ja",Tabell2[[#This Row],[Flammehemmere]]=2,"Ja",Tabell2[[#This Row],[PVC]]=2,"Ja",Tabell2[[#This Row],[Sosiale hensyn og menneske-rettigheter er inkludert]]=2,"Ja")</f>
        <v>#N/A</v>
      </c>
    </row>
    <row r="52" spans="1:84" s="7" customFormat="1" ht="14.45" customHeight="1" x14ac:dyDescent="0.25">
      <c r="A52" s="10">
        <v>2021</v>
      </c>
      <c r="B52" s="10" t="s">
        <v>260</v>
      </c>
      <c r="C52" s="60">
        <v>44260</v>
      </c>
      <c r="D52" s="37" t="s">
        <v>261</v>
      </c>
      <c r="E52" s="61">
        <v>971032081</v>
      </c>
      <c r="F52" s="36" t="s">
        <v>262</v>
      </c>
      <c r="G52" s="69" t="s">
        <v>79</v>
      </c>
      <c r="H52" s="36" t="s">
        <v>80</v>
      </c>
      <c r="I52" s="4">
        <v>39100000</v>
      </c>
      <c r="J52" s="10">
        <v>0</v>
      </c>
      <c r="K52" s="4" t="s">
        <v>75</v>
      </c>
      <c r="L52" s="21" t="s">
        <v>82</v>
      </c>
      <c r="M52" s="4">
        <v>0</v>
      </c>
      <c r="N52" s="76">
        <v>90000000</v>
      </c>
      <c r="O52" s="4">
        <v>1</v>
      </c>
      <c r="P52" s="49" t="s">
        <v>263</v>
      </c>
      <c r="Q52" s="35" t="s">
        <v>264</v>
      </c>
      <c r="R52" s="13"/>
      <c r="S52" s="80">
        <v>0.2</v>
      </c>
      <c r="T52" s="80">
        <v>0.4</v>
      </c>
      <c r="U52" s="80">
        <v>0.39999999999999991</v>
      </c>
      <c r="V52" s="45">
        <v>1</v>
      </c>
      <c r="W52" s="123">
        <v>0</v>
      </c>
      <c r="X52" s="2">
        <v>0</v>
      </c>
      <c r="Y52" s="123">
        <v>0</v>
      </c>
      <c r="Z52" s="43">
        <v>0</v>
      </c>
      <c r="AA52" s="17">
        <v>1</v>
      </c>
      <c r="AB52" s="17">
        <v>0</v>
      </c>
      <c r="AC52" s="17">
        <v>0</v>
      </c>
      <c r="AD52" s="17">
        <v>0</v>
      </c>
      <c r="AE52" s="10">
        <v>0</v>
      </c>
      <c r="AF52" s="10">
        <v>1</v>
      </c>
      <c r="AG52" s="14">
        <v>0</v>
      </c>
      <c r="AH52" s="10">
        <v>1</v>
      </c>
      <c r="AI52" s="10">
        <v>0</v>
      </c>
      <c r="AJ52" s="10">
        <v>1</v>
      </c>
      <c r="AK52" s="10">
        <v>1</v>
      </c>
      <c r="AL52" s="15">
        <v>1</v>
      </c>
      <c r="AM52" s="15">
        <v>0</v>
      </c>
      <c r="AN52" s="15">
        <v>0</v>
      </c>
      <c r="AO52" s="98">
        <v>1</v>
      </c>
      <c r="AP52" s="15">
        <v>1</v>
      </c>
      <c r="AQ52" s="15">
        <v>0</v>
      </c>
      <c r="AR52" s="15">
        <v>0</v>
      </c>
      <c r="AS52" s="15">
        <v>1</v>
      </c>
      <c r="AT52" s="15">
        <v>0</v>
      </c>
      <c r="AU52" s="15">
        <v>0</v>
      </c>
      <c r="AV52" s="10">
        <v>5</v>
      </c>
      <c r="AW52" s="10">
        <v>1</v>
      </c>
      <c r="AX52" s="10">
        <v>0</v>
      </c>
      <c r="AY52" s="10">
        <v>0</v>
      </c>
      <c r="AZ52" s="10">
        <v>1</v>
      </c>
      <c r="BA52" s="2">
        <v>1</v>
      </c>
      <c r="BB52" s="10">
        <v>1</v>
      </c>
      <c r="BC52" s="10">
        <v>0</v>
      </c>
      <c r="BD52" s="10">
        <v>1</v>
      </c>
      <c r="BE52" s="10">
        <v>1</v>
      </c>
      <c r="BF52" s="10">
        <v>1</v>
      </c>
      <c r="BG52" s="10">
        <v>0</v>
      </c>
      <c r="BH52" s="10">
        <v>1</v>
      </c>
      <c r="BI52" s="10">
        <v>0</v>
      </c>
      <c r="BJ52" s="10">
        <v>1</v>
      </c>
      <c r="BK52" s="10">
        <v>0</v>
      </c>
      <c r="BL52" s="10">
        <v>0</v>
      </c>
      <c r="BM52" s="10">
        <v>0</v>
      </c>
      <c r="BN52" s="10">
        <v>1</v>
      </c>
      <c r="BO52" s="10">
        <v>0</v>
      </c>
      <c r="BP52" s="10">
        <v>0</v>
      </c>
      <c r="BQ52" s="10">
        <v>0</v>
      </c>
      <c r="BR52" s="45">
        <v>1</v>
      </c>
      <c r="BS52" s="20">
        <v>0</v>
      </c>
      <c r="BT52" s="48">
        <v>1</v>
      </c>
      <c r="BU52" s="20">
        <v>0</v>
      </c>
      <c r="BV52" s="20">
        <v>0</v>
      </c>
      <c r="BW52" s="82" t="s">
        <v>265</v>
      </c>
      <c r="BX52" s="21"/>
      <c r="CB52" s="2">
        <f t="shared" si="0"/>
        <v>1</v>
      </c>
      <c r="CC52" s="2">
        <f t="shared" si="1"/>
        <v>1</v>
      </c>
      <c r="CD52" s="2">
        <f t="shared" si="2"/>
        <v>1</v>
      </c>
      <c r="CE52" s="2">
        <f t="shared" si="3"/>
        <v>53</v>
      </c>
      <c r="CF52" s="2" t="e" cm="1">
        <f t="array" ref="CF52">+_xlfn.IFS(Tabell2[[#This Row],[EPD/Miljødeklarasjon - som krav, tildelingskriterium, kontraktsvilkår eller dokumentasjon]]=2,"Ja",Tabell2[[#This Row],[Bærekraftig trevirke/skogbruk - tømmerforordningen, FSC eller PEFC ]]=2,"Ja",Tabell2[[#This Row],[Krav til kvalitet / EN standarder/henvisning til Norsk møbelfakta]]=2,"Ja",Tabell2[[#This Row],[Robuste møbeltekstiler/ kvalitet på møbeltrekk]]=2,"Ja",Tabell2[[#This Row],[Design for lang levetid (Demontering, Reservedeler, produktinformasjon om montering og vedlikehold)]]=2,"Ja",Tabell2[[#This Row],[Merking av plast]]=2,"Ja",Tabell2[[#This Row],[Vask og rengjøring av møbler]]=2,"Ja",Tabell2[[#This Row],[Emballasjen skal være resirkulerbar/ gjenbrukbar (kravet om miljøvennelig emballasje)]]=2,"Ja",Tabell2[[#This Row],[Emballasje (retur- grønt punkt, gjenvinning) (kravet om gjenvinnbar emballasje)]]=2,"Ja",Tabell2[[#This Row],[Kjemikalietabellen (unngå skadelige kjemikaler)]]=2,"Ja",Tabell2[[#This Row],[Flammehemmere]]=2,"Ja",Tabell2[[#This Row],[PVC]]=2,"Ja",Tabell2[[#This Row],[Sosiale hensyn og menneske-rettigheter er inkludert]]=2,"Ja")</f>
        <v>#N/A</v>
      </c>
    </row>
    <row r="53" spans="1:84" s="2" customFormat="1" ht="14.45" customHeight="1" x14ac:dyDescent="0.25">
      <c r="A53" s="10">
        <v>2021</v>
      </c>
      <c r="B53" s="10" t="s">
        <v>272</v>
      </c>
      <c r="C53" s="60">
        <v>44318</v>
      </c>
      <c r="D53" s="37" t="s">
        <v>273</v>
      </c>
      <c r="E53" s="61">
        <v>964965226</v>
      </c>
      <c r="F53" s="36" t="s">
        <v>274</v>
      </c>
      <c r="G53" s="69" t="s">
        <v>248</v>
      </c>
      <c r="H53" s="36" t="s">
        <v>99</v>
      </c>
      <c r="I53" s="4">
        <v>39160000</v>
      </c>
      <c r="J53" s="10">
        <v>0</v>
      </c>
      <c r="K53" s="4" t="s">
        <v>75</v>
      </c>
      <c r="L53" s="21" t="s">
        <v>82</v>
      </c>
      <c r="M53" s="4">
        <v>0</v>
      </c>
      <c r="N53" s="76" t="s">
        <v>81</v>
      </c>
      <c r="O53" s="4">
        <v>1</v>
      </c>
      <c r="P53" s="49" t="s">
        <v>275</v>
      </c>
      <c r="Q53" s="35" t="s">
        <v>276</v>
      </c>
      <c r="R53" s="13"/>
      <c r="S53" s="80">
        <v>0</v>
      </c>
      <c r="T53" s="80">
        <v>0.4</v>
      </c>
      <c r="U53" s="80">
        <v>0.6</v>
      </c>
      <c r="V53" s="45">
        <v>0</v>
      </c>
      <c r="W53" s="123">
        <v>0</v>
      </c>
      <c r="X53" s="2">
        <v>0</v>
      </c>
      <c r="Y53" s="123">
        <v>1</v>
      </c>
      <c r="Z53" s="43">
        <v>0</v>
      </c>
      <c r="AA53" s="17">
        <v>1</v>
      </c>
      <c r="AB53" s="17">
        <v>0</v>
      </c>
      <c r="AC53" s="17">
        <v>0</v>
      </c>
      <c r="AD53" s="17">
        <v>0</v>
      </c>
      <c r="AE53" s="10">
        <v>0</v>
      </c>
      <c r="AF53" s="10">
        <v>0</v>
      </c>
      <c r="AG53" s="14">
        <v>0</v>
      </c>
      <c r="AH53" s="10">
        <v>1</v>
      </c>
      <c r="AI53" s="10">
        <v>0</v>
      </c>
      <c r="AJ53" s="10">
        <v>1</v>
      </c>
      <c r="AK53" s="10">
        <v>1</v>
      </c>
      <c r="AL53" s="15">
        <v>1</v>
      </c>
      <c r="AM53" s="15">
        <v>0</v>
      </c>
      <c r="AN53" s="15">
        <v>0</v>
      </c>
      <c r="AO53" s="98">
        <v>0</v>
      </c>
      <c r="AP53" s="15">
        <v>0</v>
      </c>
      <c r="AQ53" s="15">
        <v>0</v>
      </c>
      <c r="AR53" s="15">
        <v>0</v>
      </c>
      <c r="AS53" s="15">
        <v>0</v>
      </c>
      <c r="AT53" s="15">
        <v>0</v>
      </c>
      <c r="AU53" s="15">
        <v>0</v>
      </c>
      <c r="AV53" s="10">
        <v>5</v>
      </c>
      <c r="AW53" s="10">
        <v>0</v>
      </c>
      <c r="AX53" s="10">
        <v>0</v>
      </c>
      <c r="AY53" s="10">
        <v>0</v>
      </c>
      <c r="AZ53" s="10">
        <v>0</v>
      </c>
      <c r="BA53" s="2">
        <v>0</v>
      </c>
      <c r="BB53" s="10">
        <v>1</v>
      </c>
      <c r="BC53" s="10">
        <v>0</v>
      </c>
      <c r="BD53" s="10">
        <v>1</v>
      </c>
      <c r="BE53" s="10">
        <v>0</v>
      </c>
      <c r="BF53" s="10">
        <v>0</v>
      </c>
      <c r="BG53" s="10">
        <v>0</v>
      </c>
      <c r="BH53" s="10">
        <v>0</v>
      </c>
      <c r="BI53" s="10">
        <v>0</v>
      </c>
      <c r="BJ53" s="10">
        <v>1</v>
      </c>
      <c r="BK53" s="10">
        <v>0</v>
      </c>
      <c r="BL53" s="10">
        <v>0</v>
      </c>
      <c r="BM53" s="10">
        <v>0</v>
      </c>
      <c r="BN53" s="10">
        <v>1</v>
      </c>
      <c r="BO53" s="10">
        <v>0</v>
      </c>
      <c r="BP53" s="10">
        <v>0</v>
      </c>
      <c r="BQ53" s="10">
        <v>0</v>
      </c>
      <c r="BR53" s="45">
        <v>1</v>
      </c>
      <c r="BS53" s="20">
        <v>0</v>
      </c>
      <c r="BT53" s="48">
        <v>1</v>
      </c>
      <c r="BU53" s="20">
        <v>0</v>
      </c>
      <c r="BV53" s="20">
        <v>0</v>
      </c>
      <c r="BW53" s="82" t="s">
        <v>277</v>
      </c>
      <c r="BX53" s="21"/>
      <c r="CB53" s="2">
        <f t="shared" si="0"/>
        <v>1</v>
      </c>
      <c r="CC53" s="2">
        <f t="shared" si="1"/>
        <v>1</v>
      </c>
      <c r="CD53" s="2">
        <f t="shared" si="2"/>
        <v>0</v>
      </c>
      <c r="CE53" s="2">
        <f t="shared" si="3"/>
        <v>54</v>
      </c>
      <c r="CF53" s="2" t="e" cm="1">
        <f t="array" ref="CF53">+_xlfn.IFS(Tabell2[[#This Row],[EPD/Miljødeklarasjon - som krav, tildelingskriterium, kontraktsvilkår eller dokumentasjon]]=2,"Ja",Tabell2[[#This Row],[Bærekraftig trevirke/skogbruk - tømmerforordningen, FSC eller PEFC ]]=2,"Ja",Tabell2[[#This Row],[Krav til kvalitet / EN standarder/henvisning til Norsk møbelfakta]]=2,"Ja",Tabell2[[#This Row],[Robuste møbeltekstiler/ kvalitet på møbeltrekk]]=2,"Ja",Tabell2[[#This Row],[Design for lang levetid (Demontering, Reservedeler, produktinformasjon om montering og vedlikehold)]]=2,"Ja",Tabell2[[#This Row],[Merking av plast]]=2,"Ja",Tabell2[[#This Row],[Vask og rengjøring av møbler]]=2,"Ja",Tabell2[[#This Row],[Emballasjen skal være resirkulerbar/ gjenbrukbar (kravet om miljøvennelig emballasje)]]=2,"Ja",Tabell2[[#This Row],[Emballasje (retur- grønt punkt, gjenvinning) (kravet om gjenvinnbar emballasje)]]=2,"Ja",Tabell2[[#This Row],[Kjemikalietabellen (unngå skadelige kjemikaler)]]=2,"Ja",Tabell2[[#This Row],[Flammehemmere]]=2,"Ja",Tabell2[[#This Row],[PVC]]=2,"Ja",Tabell2[[#This Row],[Sosiale hensyn og menneske-rettigheter er inkludert]]=2,"Ja")</f>
        <v>#N/A</v>
      </c>
    </row>
    <row r="54" spans="1:84" s="2" customFormat="1" ht="14.45" customHeight="1" x14ac:dyDescent="0.25">
      <c r="A54" s="10">
        <v>2021</v>
      </c>
      <c r="B54" s="10" t="s">
        <v>324</v>
      </c>
      <c r="C54" s="60">
        <v>44521</v>
      </c>
      <c r="D54" s="41" t="s">
        <v>323</v>
      </c>
      <c r="E54" s="61">
        <v>971035854</v>
      </c>
      <c r="F54" s="39" t="s">
        <v>325</v>
      </c>
      <c r="G54" s="72" t="s">
        <v>118</v>
      </c>
      <c r="H54" s="39" t="s">
        <v>138</v>
      </c>
      <c r="I54" s="4">
        <v>39000000</v>
      </c>
      <c r="J54" s="10">
        <v>0</v>
      </c>
      <c r="K54" s="4" t="s">
        <v>75</v>
      </c>
      <c r="L54" s="21" t="s">
        <v>82</v>
      </c>
      <c r="M54" s="4">
        <v>0</v>
      </c>
      <c r="N54" s="76">
        <v>80000000</v>
      </c>
      <c r="O54" s="4">
        <v>1</v>
      </c>
      <c r="P54" s="50" t="s">
        <v>326</v>
      </c>
      <c r="Q54" s="35" t="s">
        <v>327</v>
      </c>
      <c r="R54" s="13"/>
      <c r="S54" s="80">
        <v>0</v>
      </c>
      <c r="T54" s="80">
        <v>0.4</v>
      </c>
      <c r="U54" s="80">
        <v>0.6</v>
      </c>
      <c r="V54" s="45">
        <v>0</v>
      </c>
      <c r="W54" s="123">
        <v>0</v>
      </c>
      <c r="X54" s="2">
        <v>0</v>
      </c>
      <c r="Y54" s="123">
        <v>1</v>
      </c>
      <c r="Z54" s="43">
        <v>0</v>
      </c>
      <c r="AA54" s="17">
        <v>1</v>
      </c>
      <c r="AB54" s="17">
        <v>0</v>
      </c>
      <c r="AC54" s="17">
        <v>0</v>
      </c>
      <c r="AD54" s="17">
        <v>0</v>
      </c>
      <c r="AE54" s="10">
        <v>0</v>
      </c>
      <c r="AF54" s="10">
        <v>1</v>
      </c>
      <c r="AG54" s="14">
        <v>0</v>
      </c>
      <c r="AH54" s="10">
        <v>1</v>
      </c>
      <c r="AI54" s="10">
        <v>0</v>
      </c>
      <c r="AJ54" s="10">
        <v>1</v>
      </c>
      <c r="AK54" s="10">
        <v>2</v>
      </c>
      <c r="AL54" s="15">
        <v>1</v>
      </c>
      <c r="AM54" s="15">
        <v>0</v>
      </c>
      <c r="AN54" s="15">
        <v>0</v>
      </c>
      <c r="AO54" s="98">
        <v>1</v>
      </c>
      <c r="AP54" s="15">
        <v>0</v>
      </c>
      <c r="AQ54" s="15">
        <v>0</v>
      </c>
      <c r="AR54" s="15">
        <v>0</v>
      </c>
      <c r="AS54" s="15">
        <v>0</v>
      </c>
      <c r="AT54" s="15">
        <v>0</v>
      </c>
      <c r="AU54" s="15">
        <v>0</v>
      </c>
      <c r="AV54" s="10">
        <v>5</v>
      </c>
      <c r="AW54" s="10">
        <v>1</v>
      </c>
      <c r="AX54" s="10">
        <v>0</v>
      </c>
      <c r="AY54" s="10">
        <v>0</v>
      </c>
      <c r="AZ54" s="10">
        <v>1</v>
      </c>
      <c r="BA54" s="2">
        <v>0</v>
      </c>
      <c r="BB54" s="10">
        <v>1</v>
      </c>
      <c r="BC54" s="10">
        <v>0</v>
      </c>
      <c r="BD54" s="10">
        <v>1</v>
      </c>
      <c r="BE54" s="10">
        <v>0</v>
      </c>
      <c r="BF54" s="10">
        <v>0</v>
      </c>
      <c r="BG54" s="10">
        <v>0</v>
      </c>
      <c r="BH54" s="10">
        <v>1</v>
      </c>
      <c r="BI54" s="10">
        <v>0</v>
      </c>
      <c r="BJ54" s="10">
        <v>1</v>
      </c>
      <c r="BK54" s="10">
        <v>0</v>
      </c>
      <c r="BL54" s="10">
        <v>0</v>
      </c>
      <c r="BM54" s="10">
        <v>0</v>
      </c>
      <c r="BN54" s="10">
        <v>1</v>
      </c>
      <c r="BO54" s="10">
        <v>0</v>
      </c>
      <c r="BP54" s="10">
        <v>0</v>
      </c>
      <c r="BQ54" s="10">
        <v>0</v>
      </c>
      <c r="BR54" s="45">
        <v>1</v>
      </c>
      <c r="BS54" s="20">
        <v>0</v>
      </c>
      <c r="BT54" s="48">
        <v>1</v>
      </c>
      <c r="BU54" s="20">
        <v>0</v>
      </c>
      <c r="BV54" s="20">
        <v>1</v>
      </c>
      <c r="BW54" s="82" t="s">
        <v>328</v>
      </c>
      <c r="BX54" s="21"/>
      <c r="CB54" s="2">
        <f t="shared" si="0"/>
        <v>1</v>
      </c>
      <c r="CC54" s="2">
        <f t="shared" si="1"/>
        <v>1</v>
      </c>
      <c r="CD54" s="2">
        <f t="shared" si="2"/>
        <v>0</v>
      </c>
      <c r="CE54" s="2">
        <f t="shared" si="3"/>
        <v>55</v>
      </c>
      <c r="CF54" s="2" t="str" cm="1">
        <f t="array" ref="CF54">+_xlfn.IFS(Tabell2[[#This Row],[EPD/Miljødeklarasjon - som krav, tildelingskriterium, kontraktsvilkår eller dokumentasjon]]=2,"Ja",Tabell2[[#This Row],[Bærekraftig trevirke/skogbruk - tømmerforordningen, FSC eller PEFC ]]=2,"Ja",Tabell2[[#This Row],[Krav til kvalitet / EN standarder/henvisning til Norsk møbelfakta]]=2,"Ja",Tabell2[[#This Row],[Robuste møbeltekstiler/ kvalitet på møbeltrekk]]=2,"Ja",Tabell2[[#This Row],[Design for lang levetid (Demontering, Reservedeler, produktinformasjon om montering og vedlikehold)]]=2,"Ja",Tabell2[[#This Row],[Merking av plast]]=2,"Ja",Tabell2[[#This Row],[Vask og rengjøring av møbler]]=2,"Ja",Tabell2[[#This Row],[Emballasjen skal være resirkulerbar/ gjenbrukbar (kravet om miljøvennelig emballasje)]]=2,"Ja",Tabell2[[#This Row],[Emballasje (retur- grønt punkt, gjenvinning) (kravet om gjenvinnbar emballasje)]]=2,"Ja",Tabell2[[#This Row],[Kjemikalietabellen (unngå skadelige kjemikaler)]]=2,"Ja",Tabell2[[#This Row],[Flammehemmere]]=2,"Ja",Tabell2[[#This Row],[PVC]]=2,"Ja",Tabell2[[#This Row],[Sosiale hensyn og menneske-rettigheter er inkludert]]=2,"Ja")</f>
        <v>Ja</v>
      </c>
    </row>
    <row r="55" spans="1:84" s="2" customFormat="1" ht="14.45" customHeight="1" x14ac:dyDescent="0.25">
      <c r="A55" s="10">
        <v>2021</v>
      </c>
      <c r="B55" s="10" t="s">
        <v>341</v>
      </c>
      <c r="C55" s="83">
        <v>44528</v>
      </c>
      <c r="D55" s="37" t="s">
        <v>340</v>
      </c>
      <c r="E55" s="84">
        <v>938644500</v>
      </c>
      <c r="F55" s="36" t="s">
        <v>342</v>
      </c>
      <c r="G55" s="85" t="s">
        <v>117</v>
      </c>
      <c r="H55" s="36" t="s">
        <v>99</v>
      </c>
      <c r="I55" s="86">
        <v>39130000</v>
      </c>
      <c r="J55" s="10">
        <v>0</v>
      </c>
      <c r="K55" s="86" t="s">
        <v>75</v>
      </c>
      <c r="L55" s="21" t="s">
        <v>82</v>
      </c>
      <c r="M55" s="86">
        <v>0</v>
      </c>
      <c r="N55" s="76">
        <v>7500000</v>
      </c>
      <c r="O55" s="86">
        <v>1</v>
      </c>
      <c r="P55" s="49" t="s">
        <v>343</v>
      </c>
      <c r="Q55" s="35" t="s">
        <v>344</v>
      </c>
      <c r="R55" s="13"/>
      <c r="S55" s="80">
        <v>0.1</v>
      </c>
      <c r="T55" s="80">
        <v>0.6</v>
      </c>
      <c r="U55" s="80">
        <v>0.30000000000000004</v>
      </c>
      <c r="V55" s="45">
        <v>1</v>
      </c>
      <c r="W55" s="126">
        <v>1</v>
      </c>
      <c r="X55" s="2">
        <v>1</v>
      </c>
      <c r="Y55" s="126">
        <v>0</v>
      </c>
      <c r="Z55" s="43">
        <v>0</v>
      </c>
      <c r="AA55" s="17">
        <v>0</v>
      </c>
      <c r="AB55" s="17">
        <v>0</v>
      </c>
      <c r="AC55" s="17">
        <v>0</v>
      </c>
      <c r="AD55" s="17">
        <v>0</v>
      </c>
      <c r="AE55" s="10">
        <v>0</v>
      </c>
      <c r="AF55" s="10">
        <v>0</v>
      </c>
      <c r="AG55" s="14">
        <v>0</v>
      </c>
      <c r="AH55" s="10">
        <v>1</v>
      </c>
      <c r="AI55" s="10">
        <v>0</v>
      </c>
      <c r="AJ55" s="10">
        <v>0</v>
      </c>
      <c r="AK55" s="10">
        <v>0</v>
      </c>
      <c r="AL55" s="15">
        <v>0</v>
      </c>
      <c r="AM55" s="15">
        <v>0</v>
      </c>
      <c r="AN55" s="15">
        <v>0</v>
      </c>
      <c r="AO55" s="98">
        <v>0</v>
      </c>
      <c r="AP55" s="15">
        <v>0</v>
      </c>
      <c r="AQ55" s="15">
        <v>0</v>
      </c>
      <c r="AR55" s="15">
        <v>0</v>
      </c>
      <c r="AS55" s="15">
        <v>0</v>
      </c>
      <c r="AT55" s="15">
        <v>0</v>
      </c>
      <c r="AU55" s="15">
        <v>0</v>
      </c>
      <c r="AV55" s="10">
        <v>2</v>
      </c>
      <c r="AW55" s="10">
        <v>0</v>
      </c>
      <c r="AX55" s="10">
        <v>0</v>
      </c>
      <c r="AY55" s="10">
        <v>0</v>
      </c>
      <c r="AZ55" s="10">
        <v>0</v>
      </c>
      <c r="BA55" s="2">
        <v>0</v>
      </c>
      <c r="BB55" s="10">
        <v>0</v>
      </c>
      <c r="BC55" s="10">
        <v>0</v>
      </c>
      <c r="BD55" s="10">
        <v>0</v>
      </c>
      <c r="BE55" s="10">
        <v>0</v>
      </c>
      <c r="BF55" s="10">
        <v>0</v>
      </c>
      <c r="BG55" s="10">
        <v>0</v>
      </c>
      <c r="BH55" s="10">
        <v>0</v>
      </c>
      <c r="BI55" s="10">
        <v>0</v>
      </c>
      <c r="BJ55" s="10">
        <v>0</v>
      </c>
      <c r="BK55" s="10">
        <v>0</v>
      </c>
      <c r="BL55" s="10">
        <v>0</v>
      </c>
      <c r="BM55" s="10">
        <v>0</v>
      </c>
      <c r="BN55" s="10">
        <v>0</v>
      </c>
      <c r="BO55" s="10">
        <v>0</v>
      </c>
      <c r="BP55" s="10">
        <v>0</v>
      </c>
      <c r="BQ55" s="10">
        <v>0</v>
      </c>
      <c r="BR55" s="45">
        <v>1</v>
      </c>
      <c r="BS55" s="20">
        <v>0</v>
      </c>
      <c r="BT55" s="48">
        <v>1</v>
      </c>
      <c r="BU55" s="20">
        <v>0</v>
      </c>
      <c r="BV55" s="20">
        <v>0</v>
      </c>
      <c r="BW55" s="87" t="s">
        <v>345</v>
      </c>
      <c r="BX55" s="21"/>
      <c r="CB55" s="2">
        <f t="shared" si="0"/>
        <v>0</v>
      </c>
      <c r="CC55" s="2">
        <f t="shared" si="1"/>
        <v>0</v>
      </c>
      <c r="CD55" s="2">
        <f t="shared" si="2"/>
        <v>0</v>
      </c>
      <c r="CE55" s="2">
        <f t="shared" si="3"/>
        <v>56</v>
      </c>
      <c r="CF55" s="2" t="e" cm="1">
        <f t="array" ref="CF55">+_xlfn.IFS(Tabell2[[#This Row],[EPD/Miljødeklarasjon - som krav, tildelingskriterium, kontraktsvilkår eller dokumentasjon]]=2,"Ja",Tabell2[[#This Row],[Bærekraftig trevirke/skogbruk - tømmerforordningen, FSC eller PEFC ]]=2,"Ja",Tabell2[[#This Row],[Krav til kvalitet / EN standarder/henvisning til Norsk møbelfakta]]=2,"Ja",Tabell2[[#This Row],[Robuste møbeltekstiler/ kvalitet på møbeltrekk]]=2,"Ja",Tabell2[[#This Row],[Design for lang levetid (Demontering, Reservedeler, produktinformasjon om montering og vedlikehold)]]=2,"Ja",Tabell2[[#This Row],[Merking av plast]]=2,"Ja",Tabell2[[#This Row],[Vask og rengjøring av møbler]]=2,"Ja",Tabell2[[#This Row],[Emballasjen skal være resirkulerbar/ gjenbrukbar (kravet om miljøvennelig emballasje)]]=2,"Ja",Tabell2[[#This Row],[Emballasje (retur- grønt punkt, gjenvinning) (kravet om gjenvinnbar emballasje)]]=2,"Ja",Tabell2[[#This Row],[Kjemikalietabellen (unngå skadelige kjemikaler)]]=2,"Ja",Tabell2[[#This Row],[Flammehemmere]]=2,"Ja",Tabell2[[#This Row],[PVC]]=2,"Ja",Tabell2[[#This Row],[Sosiale hensyn og menneske-rettigheter er inkludert]]=2,"Ja")</f>
        <v>#N/A</v>
      </c>
    </row>
    <row r="56" spans="1:84" x14ac:dyDescent="0.25">
      <c r="A56" s="10"/>
      <c r="B56" s="10"/>
      <c r="C56" s="83"/>
      <c r="D56" s="132"/>
      <c r="E56" s="84"/>
      <c r="F56" s="137"/>
      <c r="G56" s="138"/>
      <c r="H56" s="137"/>
      <c r="I56" s="86"/>
      <c r="J56" s="10"/>
      <c r="K56" s="86"/>
      <c r="L56" s="21"/>
      <c r="M56" s="86"/>
      <c r="N56" s="76"/>
      <c r="O56" s="86"/>
      <c r="P56" s="133"/>
      <c r="Q56" s="134"/>
      <c r="R56" s="135"/>
      <c r="S56" s="18"/>
      <c r="T56" s="18"/>
      <c r="U56" s="18"/>
      <c r="V56" s="10"/>
      <c r="W56" s="123"/>
      <c r="X56" s="10"/>
      <c r="Y56" s="123"/>
      <c r="Z56" s="123"/>
      <c r="AA56" s="123"/>
      <c r="AB56" s="123"/>
      <c r="AC56" s="123"/>
      <c r="AD56" s="123"/>
      <c r="AE56" s="10"/>
      <c r="AF56" s="10"/>
      <c r="AG56" s="123"/>
      <c r="AH56" s="10"/>
      <c r="AI56" s="10"/>
      <c r="AJ56" s="10">
        <f>+COUNTIF(Tabell2[Bærekraftig trevirke/skogbruk - tømmerforordningen, FSC eller PEFC ],1)+COUNTIF(Tabell2[Bærekraftig trevirke/skogbruk - tømmerforordningen, FSC eller PEFC ],2)</f>
        <v>34</v>
      </c>
      <c r="AK56" s="10">
        <f>+COUNTIF(Tabell2[Krav til kvalitet / EN standarder/henvisning til Norsk møbelfakta],1)+COUNTIF(Tabell2[Krav til kvalitet / EN standarder/henvisning til Norsk møbelfakta],2)</f>
        <v>33</v>
      </c>
      <c r="AL56" s="10">
        <f>+COUNTIF(Tabell2[Robuste møbeltekstiler/ kvalitet på møbeltrekk],1)+COUNTIF(Tabell2[Robuste møbeltekstiler/ kvalitet på møbeltrekk],2)</f>
        <v>43</v>
      </c>
      <c r="AM56" s="10">
        <f>+COUNTIF(Tabell2[Leverandøren skal kunne levere brukte møbler],1)+COUNTIF(Tabell2[Leverandøren skal kunne levere brukte møbler],2)</f>
        <v>1</v>
      </c>
      <c r="AN56" s="10">
        <f>+COUNTIF(Tabell2[Brukte møbler er untatt fra avtalen],1)+COUNTIF(Tabell2[Brukte møbler er untatt fra avtalen],2)</f>
        <v>16</v>
      </c>
      <c r="AO56" s="10">
        <f>+COUNTIF(Tabell2[Design for lang levetid (Demontering, Reservedeler, produktinformasjon om montering og vedlikehold)],1)+COUNTIF(Tabell2[Design for lang levetid (Demontering, Reservedeler, produktinformasjon om montering og vedlikehold)],2)</f>
        <v>38</v>
      </c>
      <c r="AP56" s="10">
        <f>+COUNTIF(Tabell2[Merking av plast],1)+COUNTIF(Tabell2[Merking av plast],2)</f>
        <v>10</v>
      </c>
      <c r="AQ56" s="10">
        <f>+COUNTIF(Tabell2[Leie/ leasing av møbler],1)+COUNTIF(Tabell2[Leie/ leasing av møbler],2)</f>
        <v>0</v>
      </c>
      <c r="AR56" s="10">
        <f>+COUNTIF(Tabell2[Leverandøren skal ta tilbake brukte møbler],1)+COUNTIF(Tabell2[Leverandøren skal ta tilbake brukte møbler],2)</f>
        <v>3</v>
      </c>
      <c r="AS56" s="10">
        <f>+COUNTIF(Tabell2[Avhending, videresalg, materialgjenvinnes/resirkuleres, (at de ber om en tjeneste om at leverandøren skal ta inn oppdragsgivers brukte møbler og videreselge, eller materialgjenvinne/resirkulere). Dette stille kanskje oftest som kontraktvilkår. ],1)+COUNTIF(Tabell2[Avhending, videresalg, materialgjenvinnes/resirkuleres, (at de ber om en tjeneste om at leverandøren skal ta inn oppdragsgivers brukte møbler og videreselge, eller materialgjenvinne/resirkulere). Dette stille kanskje oftest som kontraktvilkår. ],2)</f>
        <v>3</v>
      </c>
      <c r="AT56" s="10">
        <f>+COUNTIF(Tabell2[Serviceavtale/ reparasjonsavtale],1)+COUNTIF(Tabell2[Serviceavtale/ reparasjonsavtale],2)</f>
        <v>7</v>
      </c>
      <c r="AU56" s="10">
        <f>+COUNTIF(Tabell2[TCO/ LCC (Livssyklus kostnader)],1)+COUNTIF(Tabell2[TCO/ LCC (Livssyklus kostnader)],2)</f>
        <v>1</v>
      </c>
      <c r="AV56" s="10">
        <f>+COUNTIF(Tabell2[Garantitid (år)],1)+COUNTIF(Tabell2[Garantitid (år)],2)</f>
        <v>8</v>
      </c>
      <c r="AW56" s="10">
        <f>+COUNTIF(Tabell2[Vask og rengjøring av møbler],1)+COUNTIF(Tabell2[Vask og rengjøring av møbler],2)</f>
        <v>27</v>
      </c>
      <c r="AX56" s="10">
        <f>+COUNTIF(Tabell2[Bruk av resirkulert materiale/resirkulert andel ],1)+COUNTIF(Tabell2[Bruk av resirkulert materiale/resirkulert andel ],2)</f>
        <v>3</v>
      </c>
      <c r="AY56" s="10">
        <f>+COUNTIF(Tabell2[Skal kunne materialgjenvinnes/ resirkuleres, eller at de ber om en tjeneste om at leverandøren],1)+COUNTIF(Tabell2[Skal kunne materialgjenvinnes/ resirkuleres, eller at de ber om en tjeneste om at leverandøren],2)</f>
        <v>0</v>
      </c>
      <c r="AZ56" s="10">
        <f>+COUNTIF(Tabell2[Minimere emballasje],1)+COUNTIF(Tabell2[Minimere emballasje],2)</f>
        <v>30</v>
      </c>
      <c r="BA56" s="10">
        <f>+COUNTIF(Tabell2[Emballasjen skal være resirkulerbar/ gjenbrukbar (kravet om miljøvennelig emballasje)],1)+COUNTIF(Tabell2[Emballasjen skal være resirkulerbar/ gjenbrukbar (kravet om miljøvennelig emballasje)],2)</f>
        <v>19</v>
      </c>
      <c r="BB56" s="10">
        <f>+COUNTIF(Tabell2[Emballasje (retur- grønt punkt, gjenvinning) (kravet om gjenvinnbar emballasje)],1)+COUNTIF(Tabell2[Emballasje (retur- grønt punkt, gjenvinning) (kravet om gjenvinnbar emballasje)],2)</f>
        <v>44</v>
      </c>
      <c r="BC56" s="10">
        <f>+COUNTIF(Tabell2[Kjemikalietabellen (unngå skadelige kjemikaler)],1)+COUNTIF(Tabell2[Kjemikalietabellen (unngå skadelige kjemikaler)],2)</f>
        <v>15</v>
      </c>
      <c r="BD56" s="10">
        <f>+COUNTIF(Tabell2[Kjemikalieinnhold og -håndtering ],1)+COUNTIF(Tabell2[Kjemikalieinnhold og -håndtering ],2)</f>
        <v>36</v>
      </c>
      <c r="BE56" s="10">
        <f>+COUNTIF(Tabell2[REACH (prioritetslisten, kandidatlisten)],1)+COUNTIF(Tabell2[REACH (prioritetslisten, kandidatlisten)],2)</f>
        <v>22</v>
      </c>
      <c r="BF56" s="10">
        <f>+COUNTIF(Tabell2[Produkt-forskriften],1)+COUNTIF(Tabell2[Produkt-forskriften],2)</f>
        <v>28</v>
      </c>
      <c r="BG56" s="10">
        <f>+COUNTIF(Tabell2[CLP-forordningen kjemikalier klassifisert etter faresetninger i CLP],1)+COUNTIF(Tabell2[CLP-forordningen kjemikalier klassifisert etter faresetninger i CLP],2)</f>
        <v>16</v>
      </c>
      <c r="BH56" s="10">
        <f>+COUNTIF(Tabell2[VOC],1)+COUNTIF(Tabell2[VOC],2)</f>
        <v>12</v>
      </c>
      <c r="BI56" s="10">
        <f>+COUNTIF(Tabell2[Formaldehyd],1)+COUNTIF(Tabell2[Formaldehyd],2)</f>
        <v>15</v>
      </c>
      <c r="BJ56" s="10">
        <f>+COUNTIF(Tabell2[Flammehemmere],1)+COUNTIF(Tabell2[Flammehemmere],2)</f>
        <v>32</v>
      </c>
      <c r="BK56" s="10">
        <f>+COUNTIF(Tabell2[PVC],1)+COUNTIF(Tabell2[PVC],2)</f>
        <v>19</v>
      </c>
      <c r="BL56" s="10">
        <f>+COUNTIF(Tabell2[Tungmetaller],1)+COUNTIF(Tabell2[Tungmetaller],2)</f>
        <v>1</v>
      </c>
      <c r="BM56" s="10">
        <f>+COUNTIF(Tabell2[Kvikksølv],1)+COUNTIF(Tabell2[Kvikksølv],2)</f>
        <v>13</v>
      </c>
      <c r="BN56" s="10">
        <f>+COUNTIF(Tabell2[Krom (både 3/III og 6/IV)],1)+COUNTIF(Tabell2[Krom (både 3/III og 6/IV)],2)</f>
        <v>26</v>
      </c>
      <c r="BO56" s="10">
        <f>+COUNTIF(Tabell2[Bly],1)+COUNTIF(Tabell2[Bly],2)</f>
        <v>15</v>
      </c>
      <c r="BP56" s="10">
        <f>+COUNTIF(Tabell2[Kadmium],1)+COUNTIF(Tabell2[Kadmium],2)</f>
        <v>13</v>
      </c>
      <c r="BQ56" s="10">
        <f>+COUNTIF(Tabell2[Tinn],1)+COUNTIF(Tabell2[Tinn],2)</f>
        <v>0</v>
      </c>
      <c r="BR56" s="10">
        <f>+COUNTIF(Tabell2[Sosiale hensyn og menneske-rettigheter er inkludert],1)+COUNTIF(Tabell2[Sosiale hensyn og menneske-rettigheter er inkludert],2)</f>
        <v>39</v>
      </c>
      <c r="BS56" s="10">
        <f>+COUNTIF(Tabell2[Menneske-rettigheter som tildelingskriterium],1)+COUNTIF(Tabell2[Menneske-rettigheter som tildelingskriterium],2)</f>
        <v>0</v>
      </c>
      <c r="BT56" s="10">
        <f>+COUNTIF(Tabell2[Menneske-rettigheter som kontraktsvilkår],1)+COUNTIF(Tabell2[Menneske-rettigheter som kontraktsvilkår],2)</f>
        <v>31</v>
      </c>
      <c r="BU56" s="10">
        <f>+COUNTIF(Tabell2[Menneske-rettigheter som kvalifikasjonskrav],1)+COUNTIF(Tabell2[Menneske-rettigheter som kvalifikasjonskrav],2)</f>
        <v>8</v>
      </c>
      <c r="BV56" s="10">
        <f>+COUNTIF(Tabell2[Menneske-rettigheter som kravspesifikasjon],1)+COUNTIF(Tabell2[Menneske-rettigheter som kravspesifikasjon],2)</f>
        <v>6</v>
      </c>
      <c r="BW56" s="136"/>
      <c r="BX56" s="21"/>
    </row>
    <row r="57" spans="1:84" x14ac:dyDescent="0.25">
      <c r="AJ57" s="97">
        <f>+Tabell2[[#Totals],[Bærekraftig trevirke/skogbruk - tømmerforordningen, FSC eller PEFC ]]/53</f>
        <v>0.64150943396226412</v>
      </c>
      <c r="AK57" s="97">
        <f>+Tabell2[[#Totals],[Krav til kvalitet / EN standarder/henvisning til Norsk møbelfakta]]/53</f>
        <v>0.62264150943396224</v>
      </c>
      <c r="AL57" s="97">
        <f>+Tabell2[[#Totals],[Robuste møbeltekstiler/ kvalitet på møbeltrekk]]/53</f>
        <v>0.81132075471698117</v>
      </c>
      <c r="AM57" s="97">
        <f>+Tabell2[[#Totals],[Leverandøren skal kunne levere brukte møbler]]/53</f>
        <v>1.8867924528301886E-2</v>
      </c>
      <c r="AN57" s="97">
        <f>+Tabell2[[#Totals],[Brukte møbler er untatt fra avtalen]]/53</f>
        <v>0.30188679245283018</v>
      </c>
      <c r="AO57" s="97">
        <f>+Tabell2[[#Totals],[Design for lang levetid (Demontering, Reservedeler, produktinformasjon om montering og vedlikehold)]]/53</f>
        <v>0.71698113207547165</v>
      </c>
      <c r="AP57" s="97">
        <f>+Tabell2[[#Totals],[Merking av plast]]/53</f>
        <v>0.18867924528301888</v>
      </c>
      <c r="AQ57" s="97">
        <f>+Tabell2[[#Totals],[Leie/ leasing av møbler]]/53</f>
        <v>0</v>
      </c>
      <c r="AR57" s="97">
        <f>+Tabell2[[#Totals],[Leverandøren skal ta tilbake brukte møbler]]/53</f>
        <v>5.6603773584905662E-2</v>
      </c>
      <c r="AS57" s="97">
        <f>+Tabell2[[#Totals],[Avhending, videresalg, materialgjenvinnes/resirkuleres, (at de ber om en tjeneste om at leverandøren skal ta inn oppdragsgivers brukte møbler og videreselge, eller materialgjenvinne/resirkulere). Dette stille kanskje oftest som kontraktvilkår. ]]/53</f>
        <v>5.6603773584905662E-2</v>
      </c>
      <c r="AT57" s="97">
        <f>+Tabell2[[#Totals],[Serviceavtale/ reparasjonsavtale]]/53</f>
        <v>0.13207547169811321</v>
      </c>
      <c r="AU57" s="97">
        <f>+Tabell2[[#Totals],[TCO/ LCC (Livssyklus kostnader)]]/53</f>
        <v>1.8867924528301886E-2</v>
      </c>
      <c r="AV57" s="97">
        <f>+Tabell2[[#Totals],[Garantitid (år)]]/53</f>
        <v>0.15094339622641509</v>
      </c>
      <c r="AW57" s="97">
        <f>+Tabell2[[#Totals],[Vask og rengjøring av møbler]]/53</f>
        <v>0.50943396226415094</v>
      </c>
      <c r="AX57" s="97">
        <f>+Tabell2[[#Totals],[Bruk av resirkulert materiale/resirkulert andel ]]/53</f>
        <v>5.6603773584905662E-2</v>
      </c>
      <c r="AY57" s="97">
        <f>+Tabell2[[#Totals],[Skal kunne materialgjenvinnes/ resirkuleres, eller at de ber om en tjeneste om at leverandøren]]/53</f>
        <v>0</v>
      </c>
      <c r="AZ57" s="97">
        <f>+Tabell2[[#Totals],[Minimere emballasje]]/53</f>
        <v>0.56603773584905659</v>
      </c>
      <c r="BA57" s="97">
        <f>+Tabell2[[#Totals],[Emballasjen skal være resirkulerbar/ gjenbrukbar (kravet om miljøvennelig emballasje)]]/53</f>
        <v>0.35849056603773582</v>
      </c>
      <c r="BB57" s="97">
        <f>+Tabell2[[#Totals],[Emballasje (retur- grønt punkt, gjenvinning) (kravet om gjenvinnbar emballasje)]]/53</f>
        <v>0.83018867924528306</v>
      </c>
      <c r="BC57" s="97">
        <f>+Tabell2[[#Totals],[Kjemikalietabellen (unngå skadelige kjemikaler)]]/53</f>
        <v>0.28301886792452829</v>
      </c>
      <c r="BD57" s="97">
        <f>+Tabell2[[#Totals],[Kjemikalieinnhold og -håndtering ]]/53</f>
        <v>0.67924528301886788</v>
      </c>
      <c r="BE57" s="97">
        <f>+Tabell2[[#Totals],[REACH (prioritetslisten, kandidatlisten)]]/53</f>
        <v>0.41509433962264153</v>
      </c>
      <c r="BF57" s="97">
        <f>+Tabell2[[#Totals],[Produkt-forskriften]]/53</f>
        <v>0.52830188679245282</v>
      </c>
      <c r="BG57" s="97">
        <f>+Tabell2[[#Totals],[CLP-forordningen kjemikalier klassifisert etter faresetninger i CLP]]/53</f>
        <v>0.30188679245283018</v>
      </c>
      <c r="BH57" s="97">
        <f>+Tabell2[[#Totals],[VOC]]/53</f>
        <v>0.22641509433962265</v>
      </c>
      <c r="BI57" s="97">
        <f>+Tabell2[[#Totals],[Formaldehyd]]/53</f>
        <v>0.28301886792452829</v>
      </c>
      <c r="BJ57" s="97">
        <f>+Tabell2[[#Totals],[Flammehemmere]]/53</f>
        <v>0.60377358490566035</v>
      </c>
      <c r="BK57" s="97">
        <f>+Tabell2[[#Totals],[PVC]]/53</f>
        <v>0.35849056603773582</v>
      </c>
      <c r="BL57" s="97">
        <f>+Tabell2[[#Totals],[Tungmetaller]]/53</f>
        <v>1.8867924528301886E-2</v>
      </c>
      <c r="BM57" s="97">
        <f>+Tabell2[[#Totals],[Kvikksølv]]/53</f>
        <v>0.24528301886792453</v>
      </c>
      <c r="BN57" s="97">
        <f>+Tabell2[[#Totals],[Krom (både 3/III og 6/IV)]]/53</f>
        <v>0.49056603773584906</v>
      </c>
      <c r="BO57" s="97">
        <f>+Tabell2[[#Totals],[Bly]]/53</f>
        <v>0.28301886792452829</v>
      </c>
      <c r="BP57" s="97">
        <f>+Tabell2[[#Totals],[Kadmium]]/53</f>
        <v>0.24528301886792453</v>
      </c>
      <c r="BQ57" s="97">
        <f>+Tabell2[[#Totals],[Tinn]]/53</f>
        <v>0</v>
      </c>
      <c r="BR57" s="97">
        <f>+Tabell2[[#Totals],[Sosiale hensyn og menneske-rettigheter er inkludert]]/53</f>
        <v>0.73584905660377353</v>
      </c>
      <c r="BS57" s="97">
        <f>+Tabell2[[#Totals],[Menneske-rettigheter som tildelingskriterium]]/53</f>
        <v>0</v>
      </c>
      <c r="BT57" s="97">
        <f>+Tabell2[[#Totals],[Menneske-rettigheter som kontraktsvilkår]]/53</f>
        <v>0.58490566037735847</v>
      </c>
      <c r="BU57" s="97">
        <f>+Tabell2[[#Totals],[Menneske-rettigheter som kvalifikasjonskrav]]/53</f>
        <v>0.15094339622641509</v>
      </c>
      <c r="BV57" s="97">
        <f>+Tabell2[[#Totals],[Menneske-rettigheter som kravspesifikasjon]]/53</f>
        <v>0.11320754716981132</v>
      </c>
    </row>
    <row r="58" spans="1:84" x14ac:dyDescent="0.25">
      <c r="AI58" t="s">
        <v>383</v>
      </c>
    </row>
    <row r="59" spans="1:84" x14ac:dyDescent="0.25">
      <c r="I59" cm="1">
        <f t="array" ref="I59:I66">+_xlfn.UNIQUE(I3:I54)</f>
        <v>39000000</v>
      </c>
    </row>
    <row r="60" spans="1:84" x14ac:dyDescent="0.25">
      <c r="I60">
        <v>39130000</v>
      </c>
    </row>
    <row r="61" spans="1:84" x14ac:dyDescent="0.25">
      <c r="I61">
        <v>39100000</v>
      </c>
    </row>
    <row r="62" spans="1:84" x14ac:dyDescent="0.25">
      <c r="I62">
        <v>39131100</v>
      </c>
    </row>
    <row r="63" spans="1:84" x14ac:dyDescent="0.25">
      <c r="F63">
        <f>COUNTA(Tabell2[Tittel])</f>
        <v>53</v>
      </c>
      <c r="I63">
        <v>39161000</v>
      </c>
    </row>
    <row r="64" spans="1:84" x14ac:dyDescent="0.25">
      <c r="I64">
        <v>39132300</v>
      </c>
    </row>
    <row r="65" spans="9:9" x14ac:dyDescent="0.25">
      <c r="I65">
        <v>39112000</v>
      </c>
    </row>
    <row r="66" spans="9:9" x14ac:dyDescent="0.25">
      <c r="I66">
        <v>39160000</v>
      </c>
    </row>
  </sheetData>
  <dataValidations count="30">
    <dataValidation allowBlank="1" showInputMessage="1" showErrorMessage="1" prompt="Oppgitt i antall år_x000a__x000a_Se kommentar for ordrett bruk av kriterieveiviseren" sqref="AV2" xr:uid="{5EA6DB1D-FA3D-41DC-AFF6-6EDF1B9CDB23}"/>
    <dataValidation allowBlank="1" showInputMessage="1" showErrorMessage="1" prompt="0 = ikke nevnt_x000a_1 = nevnt_x000a__x000a_Ordrett bruk er registert under kolonnen for sosiale hensyn og menneskerettigheter" sqref="BS2:BV2" xr:uid="{C8E5B218-E945-4F12-B0DB-2B8E987F1BFA}"/>
    <dataValidation allowBlank="1" showInputMessage="1" showErrorMessage="1" prompt="0 = ikke nevnt_x000a_1 = er nevnt _x000a__x000a_Se kommentarer for mer info" sqref="AN2" xr:uid="{0A2767DE-2D07-45B7-8E4D-EE6E18555E1C}"/>
    <dataValidation allowBlank="1" showInputMessage="1" showErrorMessage="1" prompt="FSC og PEFC er ikke inkludert_x000a__x000a_Hvis miljømerke er brukt som dokumentasjon = ikke inkludert" sqref="AH2" xr:uid="{F4FE786E-5619-4499-8424-95C0841A96AA}"/>
    <dataValidation allowBlank="1" showInputMessage="1" showErrorMessage="1" prompt="0 = ikke nevnt_x000a_1 = deler av kravet/kravet ikke brukt ordrett_x000a_2 = DFØ krav om robuste tekstiler på møbelprodukter (både avansert og basis nivå) er brukt" sqref="AL2" xr:uid="{FE4BF1AA-5A47-4EE4-82EF-36875E3E5654}"/>
    <dataValidation allowBlank="1" showInputMessage="1" showErrorMessage="1" prompt="0 = ikke nevnt_x000a_1 = er nevnt_x000a_2 = DFØ krav om møbler med høy kvalitet etter produktstandard er brukt" sqref="AK2" xr:uid="{87866E13-489D-4FD6-ABDB-B6D1CC2AC0CF}"/>
    <dataValidation allowBlank="1" showInputMessage="1" showErrorMessage="1" prompt="0 = annen type innkjøpsordning enn DPS_x000a_1 = DPS" sqref="J2" xr:uid="{6FAA89E0-095E-4899-8EC5-4B7E6C0367F6}"/>
    <dataValidation allowBlank="1" showInputMessage="1" showErrorMessage="1" prompt="Rød = er kansellert" sqref="D2" xr:uid="{E95B27E1-3476-4B44-A6F2-81383615499C}"/>
    <dataValidation allowBlank="1" showInputMessage="1" showErrorMessage="1" prompt="0 = ikke nevnt_x000a_1 = nevnt_x000a__x000a_Ordrett bruk er registert under kolonnen for kjemikalietabellen" sqref="BG2" xr:uid="{EA9AF9E6-F1D8-4BCC-87B4-C775939F710F}"/>
    <dataValidation allowBlank="1" showInputMessage="1" showErrorMessage="1" prompt="0 = ikke nevnt_x000a_1 = nevnt_x000a__x000a_Ordrett bruk er registert under kolonnen for kjemikalietabellen  " sqref="BM2" xr:uid="{0DA222AE-521B-479D-98E1-4627C83957B0}"/>
    <dataValidation allowBlank="1" showInputMessage="1" showErrorMessage="1" prompt="0 = ikke nevnt_x000a_1 = er nevnt" sqref="BL2 BH2" xr:uid="{10AF826B-0EEA-482C-AE8C-74CCA672839A}"/>
    <dataValidation allowBlank="1" showInputMessage="1" showErrorMessage="1" prompt="0 = ikke nevnt_x000a_1 = er nevnt_x000a_2 = ordrett bruk av DFØs krav om brannsikkerhet og å unngå bruk av flammehemmere" sqref="BJ2" xr:uid="{3338E978-AF41-489B-AD99-9848306A7FCF}"/>
    <dataValidation allowBlank="1" showInputMessage="1" showErrorMessage="1" prompt="0 = ikke nevnt_x000a_1 = nevnt_x000a_2 = DFØ krav om å unngå bruk av PVC er brukt" sqref="BK2" xr:uid="{E13F3738-4A6E-49E2-A5BB-5BACD1E1E07C}"/>
    <dataValidation allowBlank="1" showInputMessage="1" showErrorMessage="1" prompt="Link til dokument på teams_x000a_Se kommentar for sidetall" sqref="BW2" xr:uid="{A439A165-23BD-4CA8-A018-49F07F2FABFE}"/>
    <dataValidation allowBlank="1" showInputMessage="1" showErrorMessage="1" prompt="0 = ikke nevnt_x000a__x000a_1 = har krav om menneskerettigheter (bare deler av kravet)_x000a__x000a_2 = DFØ krav om Ivaretagelse av grunnleggende menneskerettigheter i leverandørkjeder er brukt" sqref="BR2" xr:uid="{01571FBD-8257-43C9-B404-0B07A04023CF}"/>
    <dataValidation allowBlank="1" showInputMessage="1" showErrorMessage="1" prompt="0 = ikke nevnt_x000a_1 = nevnt_x000a__x000a_Ordrett bruk er registert under kolonnen for kjemikalietabellen " sqref="BN2:BP2 BI2 BE2:BF2" xr:uid="{A1B1E4D7-9DC9-48EE-AA02-EA85CD0D53A7}"/>
    <dataValidation allowBlank="1" showInputMessage="1" showErrorMessage="1" prompt="0 = ingen krav knyttet til kjemikalier_x000a_1 = er krav til kjemikalier" sqref="BD2" xr:uid="{0DD9B1D7-49E4-4350-8CC1-AE150AB51F0E}"/>
    <dataValidation allowBlank="1" showInputMessage="1" showErrorMessage="1" prompt="0 = kjemikalietabellen ikke brukt_x000a_1 = kjemikalietabellen er brukt, men ike ordrett/i sin helhelt_x000a_2 = kjemikalietabellen er ordrett brukt" sqref="BC2" xr:uid="{519514F7-C059-4396-BD48-3D7AF7360977}"/>
    <dataValidation allowBlank="1" showInputMessage="1" showErrorMessage="1" prompt="0 = ikke nevnt i kravspesifikasjon_x000a_1 = er nevnt noe på punktene under sirkulær økonomi og/eller kjemikalier" sqref="AA2" xr:uid="{DA0B5A7A-4E22-4F68-8852-01422D69C7C1}"/>
    <dataValidation allowBlank="1" showInputMessage="1" showErrorMessage="1" prompt="Vekting av service, leveringstid, kvalitet o.l." sqref="U2" xr:uid="{0BB2F46C-2D83-4F32-98F1-FD2BC6F79CB1}"/>
    <dataValidation allowBlank="1" showInputMessage="1" showErrorMessage="1" prompt="Ja = hvis de har et eget tildelingskriterium som er miljø" sqref="S2" xr:uid="{731577DA-9490-4F0A-B234-D3C7BE92E193}"/>
    <dataValidation allowBlank="1" showInputMessage="1" showErrorMessage="1" prompt="0 = ikke nevnt_x000a_1 = er nevnt i konkurransedokumentene" sqref="AE2:AF2" xr:uid="{D211EDD3-DB52-4A1A-B874-AFFD44CEF66A}"/>
    <dataValidation allowBlank="1" showInputMessage="1" showErrorMessage="1" prompt="0 = ikke nevnt_x000a_1 = minimere energibruk er nevnt i konkurransedokumentene" sqref="AD2" xr:uid="{B1928F6F-6D2F-48A5-A4E3-75D3F4C8C042}"/>
    <dataValidation allowBlank="1" showInputMessage="1" showErrorMessage="1" prompt="0 = ikke nevnt_x000a_1 = reservedel, lang levetid, produktinfo OG/ELLER vedlikehold er nevnt_x000a_2 = DFØ krav om produktinformasjon om demontering, reparasjon og tilgang på reservedeler er brukt. _x000a__x000a_Se kommentar hvis krav om merking av plast er brukt" sqref="AO2" xr:uid="{005FE4EB-2B64-47B0-A86E-4D91E675984C}"/>
    <dataValidation allowBlank="1" showInputMessage="1" showErrorMessage="1" prompt="0 = ikke nevnt_x000a_1 = enkel rengjøring er nevnt_x000a_2 = DFØ krav om enkel rengjøring av møbler er brukt" sqref="AW2" xr:uid="{2464590C-3E56-404B-8BFC-F5B6D535521F}"/>
    <dataValidation allowBlank="1" showInputMessage="1" showErrorMessage="1" prompt="0 = ikke nevnt_x000a_1 = krav til returselskap ELLER krav til at leverandør tar med emballasje_x000a_2 = DFØ krav om gjennvining av emballasje er brukt" sqref="BB2" xr:uid="{E0BF0B50-046D-403A-9099-D3314F19F5B6}"/>
    <dataValidation allowBlank="1" showInputMessage="1" showErrorMessage="1" prompt="0 = ikke nevnt_x000a_1 = gjenbrukbar/resirkulerbar emballasje _x000a_2 = DFØ krav om miljøvennlig emballasje er brukt" sqref="BA2" xr:uid="{06299FF1-458E-4024-AF74-7B7470FC7309}"/>
    <dataValidation allowBlank="1" showInputMessage="1" showErrorMessage="1" prompt="0 = ikke nevnt _x000a_1 = er nevnt" sqref="AZ2" xr:uid="{DB99320D-8C6D-4413-BF86-306F4EF5AAE8}"/>
    <dataValidation allowBlank="1" showInputMessage="1" showErrorMessage="1" prompt="Reparasjon utenom det som omfatter garanti/reklamasjon" sqref="AT2" xr:uid="{9381C838-4A03-4C43-9912-F99E60282E13}"/>
    <dataValidation allowBlank="1" showInputMessage="1" showErrorMessage="1" prompt="0 = ikke tilstede_x000a_1 = deler av kravet/innholdet i kravet er med_x000a_2 = DFØ krav om bærekraftig trevirke i møbler er brukt" sqref="AJ2" xr:uid="{A7F933C9-1D1F-4A2D-8178-6FAF2CB8F7E8}"/>
  </dataValidations>
  <hyperlinks>
    <hyperlink ref="P10" r:id="rId1" xr:uid="{3272B370-3FFE-4FFF-85FF-A6B8A6DB9124}"/>
    <hyperlink ref="Q10" r:id="rId2" xr:uid="{31C431F0-2CA2-4B4E-82DB-BFC0F14D2D30}"/>
    <hyperlink ref="BW10" r:id="rId3" display="https://dirfo.sharepoint.com/:b:/r/sites/Grnneanskaffelser/Shared%20Documents/M%C3%B8bler/Statistikk%20og%20m%C3%A5ling/M%C3%A5ling%202022%20-%20Hedda/Konkurransegrunnlag/Konkurransegrunnlag%202021/Anno%20Museum%20AS%20-%2021.05.2021/ANNO-21-01%20Konkurransegrunnlag.pdf?csf=1&amp;web=1&amp;e=sZLsCn" xr:uid="{DA3D0E7B-300F-4834-8302-D25D43D2CA6A}"/>
    <hyperlink ref="Q13" r:id="rId4" xr:uid="{E5D6629E-B81E-424B-BBEB-8FFE6428D01D}"/>
    <hyperlink ref="P13" r:id="rId5" xr:uid="{55B7E43C-2ADD-4308-B68D-C56F6F942690}"/>
    <hyperlink ref="Q12" r:id="rId6" xr:uid="{545AEA82-5D5E-4242-BAC4-39023630A0FD}"/>
    <hyperlink ref="P12" r:id="rId7" xr:uid="{024D9CE2-CA6D-47C9-A89B-031031DA866E}"/>
    <hyperlink ref="Q11" r:id="rId8" xr:uid="{7E03A0BF-0D1B-4754-A91C-BA274A1D36E6}"/>
    <hyperlink ref="P11" r:id="rId9" xr:uid="{4A5D09A0-1BA3-41DB-BD46-A7E4AD803163}"/>
    <hyperlink ref="Q3:Q5" r:id="rId10" display="elin.mathisen.saether@inderoy.kommune.no" xr:uid="{696CB7D1-3B92-43B0-B10C-19C00B337E00}"/>
    <hyperlink ref="Q34" r:id="rId11" xr:uid="{79919E73-D21A-4E15-88B0-5CAC8BE912DA}"/>
    <hyperlink ref="P34" r:id="rId12" xr:uid="{917ED502-CF89-4FC5-8AC1-4740D3F42DDB}"/>
    <hyperlink ref="BW34" r:id="rId13" display="https://dirfo.sharepoint.com/:b:/r/sites/Grnneanskaffelser/Shared%20Documents/M%C3%B8bler/Statistikk%20og%20m%C3%A5ling/M%C3%A5ling%202022%20-%20Hedda/Konkurransegrunnlag/Konkurransegrunnlag%202021/Bergen%20kommune%20-%20Bymilj%C3%B8etaten%20Delkontrakt%201%20(kontorm%C3%B8bler)%20-%2015.04.2021/Standardkontrakt%20bilag%207%20-%20Ansvarlig%20forretningspraksis.pdf?csf=1&amp;web=1&amp;e=HKoBld" xr:uid="{40BA81E3-4E71-4318-AEE8-CF3B9EF526C3}"/>
    <hyperlink ref="BW11" r:id="rId14" display="https://dirfo.sharepoint.com/:w:/r/sites/Grnneanskaffelser/Shared%20Documents/M%C3%B8bler/Statistikk%20og%20m%C3%A5ling/M%C3%A5ling%202022%20-%20Hedda/Konkurransegrunnlag/Konkurransegrunnlag%202021/Barne-,%20ungdoms-%20og%20familiedirektoratet%20-%2020.11.2021/vedlegg%206%20-%20kontraktsvilkar_for_ivaretakelse_av_grunnleggende_menneskerettigheter_i_leverandorkjeden_med_logo_2.docx?d=w8a9328e6deb44623b0c8950df1d94643&amp;csf=1&amp;web=1&amp;e=HUsPbn" xr:uid="{775104F9-B0DC-4530-90C0-4207C02C5662}"/>
    <hyperlink ref="Q14" r:id="rId15" xr:uid="{0C66D5DD-4967-441A-AFE6-DA527EFFB439}"/>
    <hyperlink ref="P14" r:id="rId16" xr:uid="{E5536682-A57D-4231-ACD3-4FA69EB26E37}"/>
    <hyperlink ref="P15" r:id="rId17" xr:uid="{929C27BB-C931-4048-A746-BAF7B05663CD}"/>
    <hyperlink ref="Q15" r:id="rId18" xr:uid="{9BF18930-8E35-4DC2-9078-EEE8B990F539}"/>
    <hyperlink ref="BW15" r:id="rId19" display="https://dirfo.sharepoint.com/:b:/r/sites/Grnneanskaffelser/Shared%20Documents/M%C3%B8bler/Statistikk%20og%20m%C3%A5ling/M%C3%A5ling%202022%20-%20Hedda/Konkurransegrunnlag/Konkurransegrunnlag%202021/Forsvarets%20Forskningsinstitutt%20-%2028.01.2021/Etisk%20egenerkl%C3%A6ring%20for%20leverand%C3%B8rer%20til%20Forsvarsdepartementet.pdf?csf=1&amp;web=1&amp;e=60TRpW" xr:uid="{EE1221AE-5032-42BF-A4ED-6418C597CBF7}"/>
    <hyperlink ref="Q3" r:id="rId20" xr:uid="{2AC44E8D-7A71-4E3A-B6FF-80993E763905}"/>
    <hyperlink ref="P3" r:id="rId21" display="https://dirfo.sharepoint.com/:f:/r/sites/Grnneanskaffelser/Shared%20Documents/M%C3%B8bler/Statistikk%20og%20m%C3%A5ling/M%C3%A5ling%202022%20-%20Hedda/Konkurransegrunnlag/Konkurransegrunnlag%202021/Grenlandkommunenes%20Innkj%C3%B8psenhet%20-%2021.04.2021?csf=1&amp;web=1&amp;e=LQXhmp" xr:uid="{C5F4E85F-3378-4132-8B0C-16199D7A54BD}"/>
    <hyperlink ref="BW3" r:id="rId22" display="https://dirfo.sharepoint.com/:b:/r/sites/Grnneanskaffelser/Shared%20Documents/M%C3%B8bler/Statistikk%20og%20m%C3%A5ling/M%C3%A5ling%202022%20-%20Hedda/Konkurransegrunnlag/Konkurransegrunnlag%202021/Grenlandkommunenes%20Innkj%C3%B8psenhet%20-%2021.04.2021/Konkurransegrunnlag.pdf?csf=1&amp;web=1&amp;e=GZx4KM" xr:uid="{B75FCA1F-2A1D-48A9-9C0E-6068E6FF2C15}"/>
    <hyperlink ref="Q16" r:id="rId23" xr:uid="{4725B5A2-031E-4EDA-BC22-2311606D4A7C}"/>
    <hyperlink ref="P16" r:id="rId24" display="https://dirfo.sharepoint.com/:f:/r/sites/Grnneanskaffelser/Shared%20Documents/M%C3%B8bler/Statistikk%20og%20m%C3%A5ling/M%C3%A5ling%202022%20-%20Hedda/Konkurransegrunnlag/Konkurransegrunnlag%202021/H%C3%B8gskulen%20i%20Volda%20-%2022.04.2021?csf=1&amp;web=1&amp;e=9iqJr7" xr:uid="{DE78D83B-70D9-49A3-BC92-C8F060070F75}"/>
    <hyperlink ref="BW16" r:id="rId25" display="https://dirfo.sharepoint.com/:b:/r/sites/Grnneanskaffelser/Shared%20Documents/M%C3%B8bler/Statistikk%20og%20m%C3%A5ling/M%C3%A5ling%202022%20-%20Hedda/Konkurransegrunnlag/Konkurransegrunnlag%202021/H%C3%B8gskulen%20i%20Volda%20-%2022.04.2021/Bilag%205%20-%20Etiske%20krav%20-%20Difi%20mal.pdf?csf=1&amp;web=1&amp;e=pCwB5E" xr:uid="{51626E97-4543-4F55-A2BE-52BBFE1259AD}"/>
    <hyperlink ref="Q35" r:id="rId26" xr:uid="{72EEC62C-A06D-49C3-A82A-527CA333D24A}"/>
    <hyperlink ref="P35" r:id="rId27" display="https://dirfo.sharepoint.com/:f:/r/sites/Grnneanskaffelser/Shared%20Documents/M%C3%B8bler/Statistikk%20og%20m%C3%A5ling/M%C3%A5ling%202022%20-%20Hedda/Konkurransegrunnlag/Konkurransegrunnlag%202021/Inder%C3%B8y%20kommune%20-%2020.03.2021?csf=1&amp;web=1&amp;e=PR9ac5" xr:uid="{756E4612-2C1D-4A20-B7B5-20F738DA5A1B}"/>
    <hyperlink ref="BW35" r:id="rId28" display="https://dirfo.sharepoint.com/:b:/r/sites/Grnneanskaffelser/Shared%20Documents/M%C3%B8bler/Statistikk%20og%20m%C3%A5ling/M%C3%A5ling%202022%20-%20Hedda/Konkurransegrunnlag/Konkurransegrunnlag%202021/Inder%C3%B8y%20kommune%20-%2020.03.2021/Konkurransedokumenter.pdf?csf=1&amp;web=1&amp;e=7WQhLK" xr:uid="{293EE6DF-057D-43F0-912A-448310237188}"/>
    <hyperlink ref="Q18" r:id="rId29" xr:uid="{4C0BC036-022D-4389-A54A-6222496ED8B2}"/>
    <hyperlink ref="P18" r:id="rId30" xr:uid="{EDCBC554-DE74-4260-B9CF-925002F3F5F2}"/>
    <hyperlink ref="Q4" r:id="rId31" xr:uid="{21532FA0-8D7A-4113-AE10-B3D4644BB1AD}"/>
    <hyperlink ref="P4" r:id="rId32" xr:uid="{C7B8C2AC-BCB1-4E8D-994C-52766193EDC7}"/>
    <hyperlink ref="Q36" r:id="rId33" xr:uid="{1C75DEF5-1D55-4221-BFBF-6904001CA1B1}"/>
    <hyperlink ref="P36" r:id="rId34" xr:uid="{037ACB9C-4A05-4354-91B8-8729324A9766}"/>
    <hyperlink ref="Q17" r:id="rId35" xr:uid="{D8F18E4F-FC4E-495E-AC13-288BD7E6C050}"/>
    <hyperlink ref="P17" r:id="rId36" xr:uid="{460CC65B-4AF0-49A8-9DE5-5CE5E2C5F727}"/>
    <hyperlink ref="BW36" r:id="rId37" display="https://dirfo.sharepoint.com/:w:/r/sites/Grnneanskaffelser/Shared%20Documents/M%C3%B8bler/Statistikk%20og%20m%C3%A5ling/M%C3%A5ling%202022%20-%20Hedda/Konkurransegrunnlag/Konkurransegrunnlag%202021/Innovasjon%20Norge%20-%2016.12.2021/Alminnelige%20avtalevilk%C3%A5r.docx?d=we429a9e3e57040f4910887eb4f64af05&amp;csf=1&amp;web=1&amp;e=Suh1eB" xr:uid="{D79A6DFB-5E27-4C99-BD0A-7CA4618D8956}"/>
    <hyperlink ref="BW4" r:id="rId38" display="https://dirfo.sharepoint.com/:b:/r/sites/Grnneanskaffelser/Shared%20Documents/M%C3%B8bler/Statistikk%20og%20m%C3%A5ling/M%C3%A5ling%202022%20-%20Hedda/Konkurransegrunnlag/Konkurransegrunnlag%202021/Jernbanedirektoratet%20-%2011.03.2021/Bilag%205%20Etiske%20krav.pdf?csf=1&amp;web=1&amp;e=UD9sjJ" xr:uid="{1F3E8228-1537-404A-9D9A-B103A67B0473}"/>
    <hyperlink ref="BW17" r:id="rId39" display="https://dirfo.sharepoint.com/:w:/r/sites/Grnneanskaffelser/Shared%20Documents/M%C3%B8bler/Statistikk%20og%20m%C3%A5ling/M%C3%A5ling%202022%20-%20Hedda/Konkurransegrunnlag/Konkurransegrunnlag%202021/Kinn%20kommune%20-%2015.06.2021/Vedlegg%203%20Utkast%20til%20Avtale.docx?d=w63729cbcba6645d292f21b32ff6789d6&amp;csf=1&amp;web=1&amp;e=UlOcS3" xr:uid="{350F6218-5460-4325-B794-8E0194661933}"/>
    <hyperlink ref="BW18" r:id="rId40" display="https://dirfo.sharepoint.com/:w:/r/sites/Grnneanskaffelser/Shared%20Documents/M%C3%B8bler/Statistikk%20og%20m%C3%A5ling/M%C3%A5ling%202022%20-%20Hedda/Konkurransegrunnlag/Konkurransegrunnlag%202021/Kriminalomsorgsdirektoratet%20-%2030.01.2021/Vedlegg%201-%20Rammeavtale%20kontorm%C3%B8bler.doc?d=w81b47d6528c545b292fbe9d7c818bd39&amp;csf=1&amp;web=1&amp;e=lPV0yF" xr:uid="{1905BF56-3276-49DD-BBFA-04D5A6B63F2D}"/>
    <hyperlink ref="Q19" r:id="rId41" xr:uid="{48728B0C-122A-49D6-8699-055DC3E7C078}"/>
    <hyperlink ref="P19" r:id="rId42" xr:uid="{CF1D5E53-9ED0-4FD9-9990-9B352303E8B8}"/>
    <hyperlink ref="BW19" r:id="rId43" display="https://dirfo.sharepoint.com/:w:/r/sites/Grnneanskaffelser/Shared%20Documents/M%C3%B8bler/Statistikk%20og%20m%C3%A5ling/M%C3%A5ling%202022%20-%20Hedda/Konkurransegrunnlag/Konkurransegrunnlag%202021/Kristiansand%20Kommune%20(m%C3%B8bler%20og%20inventar%20til%20kontor%20og%20sosiale%20soner)%20-%2014.11.2021/Vedlegg%204%20-%20Avtaledokument.docx?d=wf9d43df2d4c34f5aaeff858cde9d8c3d&amp;csf=1&amp;web=1&amp;e=pDwYsq" xr:uid="{C95791F9-74C1-4A6E-A998-83E73CC7DDF2}"/>
    <hyperlink ref="Q37" r:id="rId44" xr:uid="{28D7872D-9A6F-4793-9ADA-C2DB11B005F1}"/>
    <hyperlink ref="P37" r:id="rId45" xr:uid="{8568A055-AD9B-4F2D-8067-8AFD5D8F7803}"/>
    <hyperlink ref="P20" r:id="rId46" xr:uid="{28B68B7A-C81C-478D-BEBD-8A97DA1618DE}"/>
    <hyperlink ref="Q20" r:id="rId47" xr:uid="{BDEF81CC-2BEC-4BAE-879D-33814D7E32A6}"/>
    <hyperlink ref="Q21" r:id="rId48" xr:uid="{8B6F19D5-1AFA-4D50-8C2E-62A991E0A814}"/>
    <hyperlink ref="P21" r:id="rId49" xr:uid="{436F5C20-289B-4F55-B9FC-43BA333ACA27}"/>
    <hyperlink ref="BW20" r:id="rId50" display="https://dirfo.sharepoint.com/:w:/r/sites/Grnneanskaffelser/Shared%20Documents/M%C3%B8bler/Statistikk%20og%20m%C3%A5ling/M%C3%A5ling%202022%20-%20Hedda/Konkurransegrunnlag/Konkurransegrunnlag%202021/Kristiansand%20Kommune%20(m%C3%B8bler%20og%20inventar%20til%20institusjon)%20-%2014.11.2021/Vedlegg%204%20-%20Avtaledokument.docx?d=w24655035395846fcb323f5286d61ec1a&amp;csf=1&amp;web=1&amp;e=9HpiIE" xr:uid="{928867B1-1B46-4FA7-B89D-449853FFDCF1}"/>
    <hyperlink ref="BW21" r:id="rId51" display="https://dirfo.sharepoint.com/:w:/r/sites/Grnneanskaffelser/Shared%20Documents/M%C3%B8bler/Statistikk%20og%20m%C3%A5ling/M%C3%A5ling%202022%20-%20Hedda/Konkurransegrunnlag/Konkurransegrunnlag%202021/Kristiansand%20Kommune%20(m%C3%B8bler%20og%20inventar%20til%20barnehage)%20-%2014.11.2021/Vedlegg%204%20-%20Avtaledokument.docx?d=wd0feab7f5d9f48a3872e5e065f92dd98&amp;csf=1&amp;web=1&amp;e=jMTktF" xr:uid="{1D5EEE49-B0C2-4699-BF47-8A26357329F7}"/>
    <hyperlink ref="BW37" r:id="rId52" display="https://dirfo.sharepoint.com/:b:/r/sites/Grnneanskaffelser/Shared%20Documents/M%C3%B8bler/Statistikk%20og%20m%C3%A5ling/M%C3%A5ling%202022%20-%20Hedda/Konkurransegrunnlag/Konkurransegrunnlag%202021/Kristiansund%20kommune%20-%2024.01.2021/KONKURRANSEGRUNNLAG%20M%C3%B8bler.pdf?csf=1&amp;web=1&amp;e=v9LOZu" xr:uid="{C4A3A454-0E66-4707-93C2-6146010FB7E3}"/>
    <hyperlink ref="Q5" r:id="rId53" xr:uid="{BDCD638D-718E-48AE-B3ED-277DB2F2824E}"/>
    <hyperlink ref="P5" r:id="rId54" xr:uid="{F8553559-9DCC-44A1-B3C0-8EBF1467D47C}"/>
    <hyperlink ref="BW5" r:id="rId55" display="https://dirfo.sharepoint.com/:w:/r/sites/Grnneanskaffelser/Shared%20Documents/M%C3%B8bler/Statistikk%20og%20m%C3%A5ling/M%C3%A5ling%202022%20-%20Hedda/Konkurransegrunnlag/Konkurransegrunnlag%202021/Meteorologisk%20Institutt%20-%2015.10.2021/Vedlegg%201%20-%20Kravspesifikasjon.docx?d=wa4a51a85b12246b5ace57a6d0af7af36&amp;csf=1&amp;web=1&amp;e=8ByDJp" xr:uid="{88C85011-EB07-470E-B543-11F0C3B80BCC}"/>
    <hyperlink ref="Q49" r:id="rId56" xr:uid="{3FB20F72-7DCE-490E-BFF0-98867B782DCA}"/>
    <hyperlink ref="P49" r:id="rId57" xr:uid="{B7BA20BA-DA48-48DE-95FF-CAE16AFF439A}"/>
    <hyperlink ref="Q22" r:id="rId58" xr:uid="{771E6CCE-D8EC-41C0-9E37-D979D8167B7A}"/>
    <hyperlink ref="P22" r:id="rId59" xr:uid="{D4729171-8529-4D88-B712-66069A21277B}"/>
    <hyperlink ref="Q23" r:id="rId60" xr:uid="{9BCF8950-BB4E-4266-A0B0-65422848A21E}"/>
    <hyperlink ref="P23" r:id="rId61" xr:uid="{4D09471C-111C-4887-9C24-BACF197426EB}"/>
    <hyperlink ref="P6" r:id="rId62" xr:uid="{3B08245C-691B-4790-8B12-51075EC9FB60}"/>
    <hyperlink ref="Q6" r:id="rId63" xr:uid="{4495BF82-5320-432A-B4F5-9826AA1B9F3D}"/>
    <hyperlink ref="BW6" r:id="rId64" display="https://dirfo.sharepoint.com/:w:/r/sites/Grnneanskaffelser/Shared%20Documents/M%C3%B8bler/Statistikk%20og%20m%C3%A5ling/M%C3%A5ling%202022%20-%20Hedda/Konkurransegrunnlag/Konkurransegrunnlag%202021/NORCE%20Norwegian%20Research%20Centre%20AS%20-%2007.01.2021/Bilag%203%20-%2010.docx?d=w851df837d59c45a0bc29912a3af0b313&amp;csf=1&amp;web=1&amp;e=li0aNE" xr:uid="{9110EBCA-84E7-4912-9090-F3E3734274F2}"/>
    <hyperlink ref="Q24" r:id="rId65" xr:uid="{F8F94A3E-3146-47B5-8FFD-186738DD3547}"/>
    <hyperlink ref="P24" r:id="rId66" xr:uid="{A7E53DAF-0275-411E-93B2-825DA9AB2E45}"/>
    <hyperlink ref="BW24" r:id="rId67" display="https://dirfo.sharepoint.com/:w:/r/sites/Grnneanskaffelser/Shared%20Documents/M%C3%B8bler/Statistikk%20og%20m%C3%A5ling/M%C3%A5ling%202022%20-%20Hedda/Konkurransegrunnlag/Konkurransegrunnlag%202021/Norsk%20Helsenett%20SF%20-%2020.05.2021/21-01279%20Alminnelige%20kontraktsvilk%C3%A5r%20for%20varekj%C3%B8p.docx?d=wc20a4524699f4110b4719cbe4cc7c8fd&amp;csf=1&amp;web=1&amp;e=EdBthh" xr:uid="{AA692398-2EE3-4D9A-A1E3-9F08A1E20F8F}"/>
    <hyperlink ref="Q50" r:id="rId68" xr:uid="{37810018-6B54-4750-9828-A839F63D5DAA}"/>
    <hyperlink ref="Q25" r:id="rId69" xr:uid="{19096010-241F-416F-A748-27573B15C377}"/>
    <hyperlink ref="P50" r:id="rId70" display="https://dirfo.sharepoint.com/:f:/r/sites/Grnneanskaffelser/Shared%20Documents/M%C3%B8bler/Statistikk%20og%20m%C3%A5ling/M%C3%A5ling%202022%20-%20Hedda/Konkurransegrunnlag/Konkurransegrunnlag%202021/Politiets%20Fellestjenester%20-%2007.02.2021?csf=1&amp;web=1&amp;e=l0EqPM" xr:uid="{13E206C5-B6A1-4379-8D70-44C72062A23A}"/>
    <hyperlink ref="P25" r:id="rId71" display="https://dirfo.sharepoint.com/:f:/r/sites/Grnneanskaffelser/Shared%20Documents/M%C3%B8bler/Statistikk%20og%20m%C3%A5ling/M%C3%A5ling%202022%20-%20Hedda/Konkurransegrunnlag/Konkurransegrunnlag%202021/OsloMet%20-%20storbyuniversitetet%20-%2012.03.2021?csf=1&amp;web=1&amp;e=EGSEp2" xr:uid="{292F0321-CFDF-434F-A2BE-987A417BDC68}"/>
    <hyperlink ref="BW25" r:id="rId72" display="https://dirfo.sharepoint.com/:w:/r/sites/Grnneanskaffelser/Shared%20Documents/M%C3%B8bler/Statistikk%20og%20m%C3%A5ling/M%C3%A5ling%202022%20-%20Hedda/Konkurransegrunnlag/Konkurransegrunnlag%202021/OsloMet%20-%20storbyuniversitetet%20-%2012.03.2021/Vedlegg%208%20Kontrakt%20varekj%C3%B8p%2020-04151.docx?d=w30364bdea8024fadaa0ea7a68a7ba689&amp;csf=1&amp;web=1&amp;e=LQIFT2" xr:uid="{ECEC675B-BECC-43B5-8049-E15781D1608F}"/>
    <hyperlink ref="BW50" r:id="rId73" display="https://dirfo.sharepoint.com/:b:/r/sites/Grnneanskaffelser/Shared%20Documents/M%C3%B8bler/Statistikk%20og%20m%C3%A5ling/M%C3%A5ling%202022%20-%20Hedda/Konkurransegrunnlag/Konkurransegrunnlag%202021/Politiets%20Fellestjenester%20-%2007.02.2021/9.%20Alminnelige%20avtalevilk%C3%A5r.pdf?csf=1&amp;web=1&amp;e=jabH56" xr:uid="{F0E55528-9F36-403A-96EE-004F10BF2A2E}"/>
    <hyperlink ref="Q51" r:id="rId74" xr:uid="{F7F92246-C177-4ABA-BADF-0B9CFCB48214}"/>
    <hyperlink ref="Q27" r:id="rId75" xr:uid="{BC064176-477C-4057-A844-7E71C8A78A4F}"/>
    <hyperlink ref="P27" r:id="rId76" xr:uid="{E97ED19D-1B01-4D01-91AD-9228791DBB17}"/>
    <hyperlink ref="Q52" r:id="rId77" xr:uid="{3150F206-16A8-4880-B6AF-E70635BC6F9F}"/>
    <hyperlink ref="P52" r:id="rId78" xr:uid="{39D09A82-442A-432D-9AF5-9D3ABE883FD1}"/>
    <hyperlink ref="P51" r:id="rId79" display="https://dirfo.sharepoint.com/:f:/r/sites/Grnneanskaffelser/Shared%20Documents/M%C3%B8bler/Statistikk%20og%20m%C3%A5ling/M%C3%A5ling%202022%20-%20Hedda/Konkurransegrunnlag/Konkurransegrunnlag%202021/Statens%20arbeidsmilj%C3%B8institutt%20-%2014.02.2021?csf=1&amp;web=1&amp;e=gtE7Vy" xr:uid="{1CA88382-937F-4C23-BFF9-A12919D99D8A}"/>
    <hyperlink ref="Q26" r:id="rId80" xr:uid="{233C14C7-30FD-4F1E-BED1-7ED5402B89E9}"/>
    <hyperlink ref="P26" r:id="rId81" xr:uid="{50D9EF39-E3CC-48A5-B5DC-27E652AED103}"/>
    <hyperlink ref="BW51" r:id="rId82" display="https://dirfo.sharepoint.com/:b:/r/sites/Grnneanskaffelser/Shared%20Documents/M%C3%B8bler/Statistikk%20og%20m%C3%A5ling/M%C3%A5ling%202022%20-%20Hedda/Konkurransegrunnlag/Konkurransegrunnlag%202021/Statens%20arbeidsmilj%C3%B8institutt%20-%2014.02.2021/Kunngjort%20konkurransegrunnlag.pdf?csf=1&amp;web=1&amp;e=nrIxPS" xr:uid="{7FCF6528-337A-4424-A153-B1157C624A21}"/>
    <hyperlink ref="BW52" r:id="rId83" display="https://dirfo.sharepoint.com/:b:/r/sites/Grnneanskaffelser/Shared%20Documents/M%C3%B8bler/Statistikk%20og%20m%C3%A5ling/M%C3%A5ling%202022%20-%20Hedda/Konkurransegrunnlag/Konkurransegrunnlag%202021/Statens%20vegvesen%20-%2005.03.2021/Kontraktsbetemmelser.pdf?csf=1&amp;web=1&amp;e=LDNf2Q" xr:uid="{D5829FB7-75C3-4BA8-A990-4FD84E5A8BBE}"/>
    <hyperlink ref="Q7" r:id="rId84" xr:uid="{D2154662-A141-44A8-8A20-2966EAD19CFE}"/>
    <hyperlink ref="Q53" r:id="rId85" xr:uid="{979D684C-7416-4FAF-A5DF-E2B74174FAA1}"/>
    <hyperlink ref="P53" r:id="rId86" xr:uid="{02AC5994-D087-499C-8BBB-5C68401B228E}"/>
    <hyperlink ref="P7" r:id="rId87" display="https://dirfo.sharepoint.com/:f:/r/sites/Grnneanskaffelser/Shared%20Documents/M%C3%B8bler/Statistikk%20og%20m%C3%A5ling/M%C3%A5ling%202022%20-%20Hedda/Konkurransegrunnlag/Konkurransegrunnlag%202021/Statsforvalteren%20i%20Troms%20og%20Finnmark%20-%2007.07.2021?csf=1&amp;web=1&amp;e=9WTIFd" xr:uid="{A7A6EBD2-0495-4D8C-86D6-5B5A47274578}"/>
    <hyperlink ref="BW53" r:id="rId88" display="https://dirfo.sharepoint.com/:b:/r/sites/Grnneanskaffelser/Shared%20Documents/M%C3%B8bler/Statistikk%20og%20m%C3%A5ling/M%C3%A5ling%202022%20-%20Hedda/Konkurransegrunnlag/Konkurransegrunnlag%202021/Stavanger%20kommune%20-%2002.05.2021/Generelle%20avtalevilk%C3%A5r.pdf?csf=1&amp;web=1&amp;e=9E4mXz" xr:uid="{19D8A90E-5E8B-48D8-85D3-D1EB45016FF5}"/>
    <hyperlink ref="Q28" r:id="rId89" xr:uid="{3124DC06-4D91-416D-8499-F03B0D317BDB}"/>
    <hyperlink ref="Q29" r:id="rId90" xr:uid="{D0134282-60A9-4934-BEFB-97EE91346E46}"/>
    <hyperlink ref="P28" r:id="rId91" xr:uid="{D58D916F-FCB5-4BA2-B359-DD93A25B62F1}"/>
    <hyperlink ref="P29" r:id="rId92" xr:uid="{993AD2A9-1DFF-4D76-8161-F941AF3FB9EB}"/>
    <hyperlink ref="Q30" r:id="rId93" xr:uid="{3606378E-13D6-44D7-92AA-23E6CD2F1B0E}"/>
    <hyperlink ref="P30" r:id="rId94" xr:uid="{426E690F-02ED-4D8B-8DC8-4219F425D8C8}"/>
    <hyperlink ref="Q38" r:id="rId95" xr:uid="{9520C4B0-BAE6-4B13-8E02-C0707AEAFC6F}"/>
    <hyperlink ref="Q39" r:id="rId96" xr:uid="{E88A88FB-8871-4170-A87C-E4692F1ED1C6}"/>
    <hyperlink ref="Q40" r:id="rId97" xr:uid="{D341A39F-DC77-4FC7-AA27-29E005EF230C}"/>
    <hyperlink ref="P38" r:id="rId98" xr:uid="{36C14786-5A7F-47ED-8E7C-B6B2DDB9C6FE}"/>
    <hyperlink ref="P40" r:id="rId99" xr:uid="{D9A2B30F-4E8D-42A8-96CD-83C693465F59}"/>
    <hyperlink ref="P39" r:id="rId100" xr:uid="{66918633-5BE3-4366-930D-AE5DC1E3D8B6}"/>
    <hyperlink ref="BW28" r:id="rId101" display="https://dirfo.sharepoint.com/:b:/r/sites/Grnneanskaffelser/Shared%20Documents/M%C3%B8bler/Statistikk%20og%20m%C3%A5ling/M%C3%A5ling%202022%20-%20Hedda/Konkurransegrunnlag/Konkurransegrunnlag%202021/Stortinget%20-%2017.06.2021/Bilag%207%20Kontraktsvilk%C3%A5r%20for%20ivaretakelse%20av%20grunnleggende%20menneskerettigheter%20i%20leverand%C3%B8rkjeden.pdf?csf=1&amp;web=1&amp;e=tnkI8p" xr:uid="{9DD9D375-66EB-45A4-A73B-B4105F231965}"/>
    <hyperlink ref="BW29" r:id="rId102" display="https://dirfo.sharepoint.com/:b:/r/sites/Grnneanskaffelser/Shared%20Documents/M%C3%B8bler/Statistikk%20og%20m%C3%A5ling/M%C3%A5ling%202022%20-%20Hedda/Konkurransegrunnlag/Konkurransegrunnlag%202021/Stortinget%20-%2017.06.2021/Bilag%207%20Kontraktsvilk%C3%A5r%20for%20ivaretakelse%20av%20grunnleggende%20menneskerettigheter%20i%20leverand%C3%B8rkjeden.pdf?csf=1&amp;web=1&amp;e=tnkI8p" xr:uid="{EC0F99E2-8E80-4D65-B2FA-0A78B5AE0CCE}"/>
    <hyperlink ref="BW38" r:id="rId103" display="https://dirfo.sharepoint.com/:w:/r/sites/Grnneanskaffelser/Shared%20Documents/M%C3%B8bler/Statistikk%20og%20m%C3%A5ling/M%C3%A5ling%202022%20-%20Hedda/Konkurransegrunnlag/Konkurransegrunnlag%202021/Sykehusinnkj%C3%B8p%20HF%20-%2013.04.2021/Vedlegg%20Svarskjema%20etisk%20handel.docx?d=w2bdb75275bb1481da059e1c74ed981da&amp;csf=1&amp;web=1&amp;e=0oPox1" xr:uid="{A9B1517D-032D-4F5B-A802-AC4B0617895B}"/>
    <hyperlink ref="BW39:BW40" r:id="rId104" display="https://dirfo.sharepoint.com/:w:/r/sites/Grnneanskaffelser/Shared%20Documents/M%C3%B8bler/Statistikk%20og%20m%C3%A5ling/M%C3%A5ling%202022%20-%20Hedda/Konkurransegrunnlag/Konkurransegrunnlag%202021/Sykehusinnkj%C3%B8p%20HF%20-%2013.04.2021/Vedlegg%20Svarskjema%20etisk%20handel.docx?d=w2bdb75275bb1481da059e1c74ed981da&amp;csf=1&amp;web=1&amp;e=0oPox1" xr:uid="{3B998F9D-F154-4092-B03D-BC0A22247958}"/>
    <hyperlink ref="Q31" r:id="rId105" xr:uid="{D47D2159-FF3C-4604-8634-88FCDFD16607}"/>
    <hyperlink ref="P31" r:id="rId106" xr:uid="{B531716A-10C9-40B4-B036-970E603B27B3}"/>
    <hyperlink ref="Q32" r:id="rId107" xr:uid="{457CA2CE-7214-4593-8297-DF5109BE994F}"/>
    <hyperlink ref="P32" r:id="rId108" xr:uid="{05C0125C-A684-4667-B8A7-F5C2F29F5956}"/>
    <hyperlink ref="Q41" r:id="rId109" xr:uid="{DF35FC27-FDC9-40BF-8325-748404D6099F}"/>
    <hyperlink ref="P41" r:id="rId110" display="https://dirfo.sharepoint.com/:f:/r/sites/Grnneanskaffelser/Shared%20Documents/M%C3%B8bler/Statistikk%20og%20m%C3%A5ling/M%C3%A5ling%202022%20-%20Hedda/Konkurransegrunnlag/Konkurransegrunnlag%202021/Troms%C3%B8%20kommune%20-%2006.05.2021?csf=1&amp;web=1&amp;e=TBglZe" xr:uid="{0E6BA5D5-07A2-4FE0-A67E-7BDA408C7EA5}"/>
    <hyperlink ref="BW32" r:id="rId111" display="https://dirfo.sharepoint.com/:b:/r/sites/Grnneanskaffelser/Shared%20Documents/M%C3%B8bler/Statistikk%20og%20m%C3%A5ling/M%C3%A5ling%202022%20-%20Hedda/Konkurransegrunnlag/Konkurransegrunnlag%202021/Troms%20og%20Finnmark%20Fylkeskommune%20-%2018.11.2021/Vedlegg%203%20-%20Alminnelige%20Kontraktsvilk%C3%A5r-varer.pdf?csf=1&amp;web=1&amp;e=9aepki" xr:uid="{09B7401F-600B-43EC-8A94-E4D17E25A01C}"/>
    <hyperlink ref="BW41" r:id="rId112" display="https://dirfo.sharepoint.com/:w:/r/sites/Grnneanskaffelser/Shared%20Documents/M%C3%B8bler/Statistikk%20og%20m%C3%A5ling/M%C3%A5ling%202022%20-%20Hedda/Konkurransegrunnlag/Konkurransegrunnlag%202021/Troms%C3%B8%20kommune%20-%2006.05.2021/Vedlegg%204%20Alminnelige%20kontraktsbestemmelser%20for%20varekj%C3%B8p.docx?d=w27826c50206e4888a4f2c4952107b02d&amp;csf=1&amp;web=1&amp;e=s7CqRC" xr:uid="{7C9C25E9-8EBD-4BB2-8539-D2162DA7F22A}"/>
    <hyperlink ref="Q42" r:id="rId113" xr:uid="{034E628E-283A-4FAA-B5DD-866D579EB8FA}"/>
    <hyperlink ref="P42" r:id="rId114" xr:uid="{583D4728-D87E-4D0C-B9DA-FD8E3D511408}"/>
    <hyperlink ref="BW42" r:id="rId115" display="https://dirfo.sharepoint.com/:b:/r/sites/Grnneanskaffelser/Shared%20Documents/M%C3%B8bler/Statistikk%20og%20m%C3%A5ling/M%C3%A5ling%202022%20-%20Hedda/Konkurransegrunnlag/Konkurransegrunnlag%202021/Trondheim%20Kommune%20(delkontrakt%203%20-%20kontorm%C3%B8bler)%20-%2025.06.2021/Konkurransegrunnlag%20-%20Nye%20m%C3%B8bler%20til%20Trondheim%20kommune.pdf?csf=1&amp;web=1&amp;e=bbrG11" xr:uid="{4255592E-0C05-4E03-B0CC-9D1D2321A2A8}"/>
    <hyperlink ref="Q43" r:id="rId116" xr:uid="{69AC3CDD-1245-45F8-A488-910FEAE63E1B}"/>
    <hyperlink ref="P43" r:id="rId117" xr:uid="{166DA2E7-AA00-4BE4-BA20-D51958115352}"/>
    <hyperlink ref="Q8" r:id="rId118" xr:uid="{2AC85A63-536D-40BF-A3A9-A04F5ECB9C07}"/>
    <hyperlink ref="P8" r:id="rId119" xr:uid="{7F975879-EF4F-45F7-B8E0-F25523B2CB72}"/>
    <hyperlink ref="Q54" r:id="rId120" xr:uid="{E495C8EE-F46B-4554-9DF0-98EE4E567C48}"/>
    <hyperlink ref="P54" r:id="rId121" display="https://dirfo.sharepoint.com/:f:/r/sites/Grnneanskaffelser/Shared%20Documents/M%C3%B8bler/Statistikk%20og%20m%C3%A5ling/M%C3%A5ling%202022%20-%20Hedda/Konkurransegrunnlag/Konkurransegrunnlag%202021/Universitetet%20i%20Oslo%20-%2021.11.2021?csf=1&amp;web=1&amp;e=alJSfz" xr:uid="{6C20530F-F3B0-4B91-B4C8-8B1349F88B20}"/>
    <hyperlink ref="BW54" r:id="rId122" display="https://dirfo.sharepoint.com/:w:/r/sites/Grnneanskaffelser/Shared%20Documents/M%C3%B8bler/Statistikk%20og%20m%C3%A5ling/M%C3%A5ling%202022%20-%20Hedda/Konkurransegrunnlag/Konkurransegrunnlag%202021/Universitetet%20i%20Oslo%20-%2021.11.2021/Bilag%205%20-%20Kontratsvilk%C3%A5r%20for%20etisk%20handel.docx?d=wc4b3b51ce4f54ef79dbf14ec0619381c&amp;csf=1&amp;web=1&amp;e=SnFhIR" xr:uid="{EEE67B63-9FE7-42F1-BB9C-EB914F663E5C}"/>
    <hyperlink ref="BW8" r:id="rId123" display="https://dirfo.sharepoint.com/:b:/r/sites/Grnneanskaffelser/Shared%20Documents/M%C3%B8bler/Statistikk%20og%20m%C3%A5ling/M%C3%A5ling%202022%20-%20Hedda/Konkurransegrunnlag/Konkurransegrunnlag%202021/Utlendingsnemnda%20-%2018.10.2021/Kunngjort%20konkurransegrunnlag.pdf?csf=1&amp;web=1&amp;e=qKMtvg" xr:uid="{F9A263EB-AB6B-498D-929E-E158D672137E}"/>
    <hyperlink ref="Q55" r:id="rId124" xr:uid="{A97D556C-79B5-49DF-8E57-09246CE2EB73}"/>
    <hyperlink ref="P55" r:id="rId125" xr:uid="{C3F62CE6-8F3E-47B1-8056-9DE844536B22}"/>
    <hyperlink ref="BW55" r:id="rId126" display="https://dirfo.sharepoint.com/:w:/r/sites/Grnneanskaffelser/Shared%20Documents/M%C3%B8bler/Statistikk%20og%20m%C3%A5ling/M%C3%A5ling%202022%20-%20Hedda/Konkurransegrunnlag/Konkurransegrunnlag%202021/V%C3%A5gan%20Kommune%20-%2028.11.2021/Standardkontrakt%20for%20vare%20og%20tjenestekj%C3%B8p%20i%20V%C3%A5gan%20kommune.docx?d=w987d5dbed4c04e1ca2b6ef662ca31d36&amp;csf=1&amp;web=1&amp;e=fiQM9e" xr:uid="{023B2372-75E7-465D-B176-244572A0A0DA}"/>
    <hyperlink ref="P33" r:id="rId127" xr:uid="{FC805695-AB1A-4405-A966-F58359F55212}"/>
    <hyperlink ref="Q9" r:id="rId128" xr:uid="{5B575F24-00B2-4F21-A796-9159FFAF3603}"/>
    <hyperlink ref="P9" r:id="rId129" xr:uid="{63DF10B9-84B3-49DF-B751-2F1315F1BDC8}"/>
    <hyperlink ref="Q48" r:id="rId130" xr:uid="{CA4A9E07-129A-40C7-A2C4-CEE4352B60B9}"/>
    <hyperlink ref="Q44" r:id="rId131" display="mailto:gina.olsnes@alesund.kommune.no" xr:uid="{6E79289F-CD5B-4D48-A3AD-F5F7A125D87A}"/>
    <hyperlink ref="Q47" r:id="rId132" display="mailto:gina.olsnes@alesund.kommune.no" xr:uid="{6B87E94B-59C5-4F75-8C82-80D2620CA865}"/>
    <hyperlink ref="P46" r:id="rId133" display="https://dirfo.sharepoint.com/:f:/r/sites/Grnneanskaffelser/Shared%20Documents/M%C3%B8bler/Statistikk%20og%20m%C3%A5ling/M%C3%A5ling%202022%20-%20Hedda/Konkurransegrunnlag/Konkurransegrunnlag%202021/%C3%85lesund%20kommune%20-%20kontorstoler%202%20utlysninger/%C3%85lesund%20kommune%20-%2028.03.2021?csf=1&amp;web=1&amp;e=IXku4A" xr:uid="{DB12794D-FC7A-4AB0-AEC1-98F18F913A21}"/>
    <hyperlink ref="P44" r:id="rId134" display="https://dirfo.sharepoint.com/:f:/r/sites/Grnneanskaffelser/Shared%20Documents/M%C3%B8bler/Statistikk%20og%20m%C3%A5ling/M%C3%A5ling%202022%20-%20Hedda/Konkurransegrunnlag/Konkurransegrunnlag%202021/%C3%85lesund%20kommune%20-%20kontorstoler%202%20utlysninger/KANSELLERT%20%C3%85lesund%20kommune%20-%2024.01.2021?csf=1&amp;web=1&amp;e=rmGQan" xr:uid="{E0EE535D-DD35-44F2-8C81-94DD90A44E04}"/>
    <hyperlink ref="P48" r:id="rId135" display="https://dirfo.sharepoint.com/:f:/r/sites/Grnneanskaffelser/Shared%20Documents/M%C3%B8bler/Statistikk%20og%20m%C3%A5ling/M%C3%A5ling%202022%20-%20Hedda/Konkurransegrunnlag/Konkurransegrunnlag%202021/%C3%85lesund%20kommune%20-%2001.07.2021?csf=1&amp;web=1&amp;e=95wbam" xr:uid="{AD800586-C4A6-4089-B3CF-FE5B796334B7}"/>
    <hyperlink ref="P47" r:id="rId136" display="https://dirfo.sharepoint.com/:f:/r/sites/Grnneanskaffelser/Shared%20Documents/M%C3%B8bler/Statistikk%20og%20m%C3%A5ling/M%C3%A5ling%202022%20-%20Hedda/Konkurransegrunnlag/Konkurransegrunnlag%202021/%C3%85lesund%20kommune%20-%20kontorstoler%202%20utlysninger/%C3%85lesund%20kommune%20-%2028.03.2021?csf=1&amp;web=1&amp;e=IXku4A" xr:uid="{D2F8A7E4-8762-4525-82BD-5777A523FFE3}"/>
    <hyperlink ref="P45" r:id="rId137" display="https://dirfo.sharepoint.com/:f:/r/sites/Grnneanskaffelser/Shared%20Documents/M%C3%B8bler/Statistikk%20og%20m%C3%A5ling/M%C3%A5ling%202022%20-%20Hedda/Konkurransegrunnlag/Konkurransegrunnlag%202021/%C3%85lesund%20kommune%20-%20kontorstoler%202%20utlysninger/KANSELLERT%20%C3%85lesund%20kommune%20-%2024.01.2021?csf=1&amp;web=1&amp;e=rmGQan" xr:uid="{4FADEECB-263B-4D34-9A35-75C36FAE8F4B}"/>
    <hyperlink ref="BW44" r:id="rId138" display="https://dirfo.sharepoint.com/:b:/r/sites/Grnneanskaffelser/Shared%20Documents/M%C3%B8bler/Statistikk%20og%20m%C3%A5ling/M%C3%A5ling%202022%20-%20Hedda/Konkurransegrunnlag/Konkurransegrunnlag%202021/%C3%85lesund%20kommune%20-%20kontorstoler%202%20utlysninger/KANSELLERT%20%C3%85lesund%20kommune%20-%2024.01.2021/Publisert%20konkurransegrunnlag.pdf?csf=1&amp;web=1&amp;e=raZXAu" xr:uid="{00A9314E-6AA7-4A2D-B3A6-AC35D02F53A9}"/>
    <hyperlink ref="BW45" r:id="rId139" display="https://dirfo.sharepoint.com/:b:/r/sites/Grnneanskaffelser/Shared%20Documents/M%C3%B8bler/Statistikk%20og%20m%C3%A5ling/M%C3%A5ling%202022%20-%20Hedda/Konkurransegrunnlag/Konkurransegrunnlag%202021/%C3%85lesund%20kommune%20-%20kontorstoler%202%20utlysninger/KANSELLERT%20%C3%85lesund%20kommune%20-%2024.01.2021/Publisert%20konkurransegrunnlag.pdf?csf=1&amp;web=1&amp;e=raZXAu" xr:uid="{19C146BF-303F-4184-A440-41CD3B62CB2C}"/>
    <hyperlink ref="BW46" r:id="rId140" display="https://dirfo.sharepoint.com/:b:/r/sites/Grnneanskaffelser/Shared%20Documents/M%C3%B8bler/Statistikk%20og%20m%C3%A5ling/M%C3%A5ling%202022%20-%20Hedda/Konkurransegrunnlag/Konkurransegrunnlag%202021/%C3%85lesund%20kommune%20-%20kontorstoler%202%20utlysninger/%C3%85lesund%20kommune%20-%2028.03.2021/KKG%20-%20kontorstoler.pdf?csf=1&amp;web=1&amp;e=6vAAfQ" xr:uid="{2CA7A6EC-7DBA-4775-843C-71891A645AE5}"/>
    <hyperlink ref="BW47" r:id="rId141" display="https://dirfo.sharepoint.com/:b:/r/sites/Grnneanskaffelser/Shared%20Documents/M%C3%B8bler/Statistikk%20og%20m%C3%A5ling/M%C3%A5ling%202022%20-%20Hedda/Konkurransegrunnlag/Konkurransegrunnlag%202021/%C3%85lesund%20kommune%20-%20kontorstoler%202%20utlysninger/%C3%85lesund%20kommune%20-%2028.03.2021/KKG%20-%20kontorstoler.pdf?csf=1&amp;web=1&amp;e=6vAAfQ" xr:uid="{1F521BAD-DC97-4652-B481-EC20C23D1FBA}"/>
    <hyperlink ref="BW48" r:id="rId142" display="https://dirfo.sharepoint.com/:b:/r/sites/Grnneanskaffelser/Shared%20Documents/M%C3%B8bler/Statistikk%20og%20m%C3%A5ling/M%C3%A5ling%202022%20-%20Hedda/Konkurransegrunnlag/Konkurransegrunnlag%202021/%C3%85lesund%20kommune%20-%2001.07.2021/Konkurransegrunnlag.pdf?csf=1&amp;web=1&amp;e=9cG5tj" xr:uid="{262E1D6C-C2CA-4DB0-AA39-F910AF856419}"/>
    <hyperlink ref="BW9" r:id="rId143" display="https://dirfo.sharepoint.com/:w:/r/sites/Grnneanskaffelser/Shared%20Documents/M%C3%B8bler/Statistikk%20og%20m%C3%A5ling/M%C3%A5ling%202022%20-%20Hedda/Konkurransegrunnlag/Konkurransegrunnlag%202021/%C3%85snes%20kommune%20-%2002.02.2021/Del%202%20Avtale%20varekj%C3%B8p%20Familiens%20Hus%2020210121.docx?d=waaeee629382d4e6fbd981958a2e0e215&amp;csf=1&amp;web=1&amp;e=fcA2TY" xr:uid="{72E586CF-3979-4C23-8169-5907A919BCDC}"/>
  </hyperlinks>
  <pageMargins left="0.7" right="0.7" top="0.75" bottom="0.75" header="0.3" footer="0.3"/>
  <pageSetup paperSize="9" orientation="portrait" r:id="rId144"/>
  <ignoredErrors>
    <ignoredError sqref="CC3" formula="1"/>
  </ignoredErrors>
  <tableParts count="1">
    <tablePart r:id="rId145"/>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B2A46-49FC-44A2-A680-1D6CDAAC3481}">
  <sheetPr>
    <tabColor rgb="FFFFFF00"/>
  </sheetPr>
  <dimension ref="B2:AI886"/>
  <sheetViews>
    <sheetView showGridLines="0" topLeftCell="A535" zoomScale="73" zoomScaleNormal="115" workbookViewId="0">
      <selection activeCell="U841" sqref="U841"/>
    </sheetView>
  </sheetViews>
  <sheetFormatPr baseColWidth="10" defaultColWidth="11.42578125" defaultRowHeight="15" x14ac:dyDescent="0.25"/>
  <sheetData>
    <row r="2" spans="2:22" x14ac:dyDescent="0.25">
      <c r="C2" t="s">
        <v>384</v>
      </c>
      <c r="D2" s="51"/>
      <c r="E2" s="52"/>
      <c r="F2" s="53"/>
      <c r="G2" s="54"/>
      <c r="H2" s="55"/>
      <c r="I2" s="56"/>
      <c r="J2" s="57"/>
      <c r="K2" s="58"/>
      <c r="L2" s="88"/>
      <c r="M2" s="89"/>
      <c r="N2" s="90"/>
      <c r="O2" s="91"/>
      <c r="P2" s="92"/>
    </row>
    <row r="5" spans="2:22" ht="39.950000000000003" customHeight="1" x14ac:dyDescent="0.25">
      <c r="B5" s="141" t="s">
        <v>385</v>
      </c>
      <c r="C5" s="141"/>
      <c r="D5" s="141"/>
      <c r="E5" s="141"/>
      <c r="F5" s="141"/>
      <c r="G5" s="141"/>
      <c r="I5" s="140" t="s">
        <v>386</v>
      </c>
      <c r="J5" s="140"/>
      <c r="K5" s="140"/>
      <c r="L5" s="140"/>
      <c r="M5" s="140"/>
      <c r="N5" s="140"/>
      <c r="Q5" s="140" t="s">
        <v>387</v>
      </c>
      <c r="R5" s="140"/>
      <c r="S5" s="140"/>
      <c r="T5" s="140"/>
      <c r="U5" s="140"/>
      <c r="V5" s="140"/>
    </row>
    <row r="21" spans="2:29" ht="18.75" x14ac:dyDescent="0.3">
      <c r="B21" s="94" t="s">
        <v>388</v>
      </c>
    </row>
    <row r="23" spans="2:29" ht="39.950000000000003" customHeight="1" x14ac:dyDescent="0.25">
      <c r="B23" s="140" t="s">
        <v>389</v>
      </c>
      <c r="C23" s="140"/>
      <c r="D23" s="140"/>
      <c r="E23" s="140"/>
      <c r="F23" s="140"/>
      <c r="G23" s="140"/>
      <c r="H23" s="140"/>
      <c r="I23" s="140"/>
      <c r="L23" s="140" t="s">
        <v>390</v>
      </c>
      <c r="M23" s="140"/>
      <c r="N23" s="140"/>
      <c r="O23" s="140"/>
      <c r="P23" s="140"/>
      <c r="Q23" s="140"/>
      <c r="R23" s="140"/>
      <c r="S23" s="140"/>
      <c r="V23" s="140" t="s">
        <v>391</v>
      </c>
      <c r="W23" s="140"/>
      <c r="X23" s="140"/>
      <c r="Y23" s="140"/>
      <c r="Z23" s="140"/>
      <c r="AA23" s="140"/>
      <c r="AB23" s="140"/>
      <c r="AC23" s="140"/>
    </row>
    <row r="46" spans="2:34" ht="18.75" x14ac:dyDescent="0.3">
      <c r="B46" s="94" t="s">
        <v>392</v>
      </c>
    </row>
    <row r="47" spans="2:34" ht="15.75" x14ac:dyDescent="0.25">
      <c r="AE47" s="95" t="s">
        <v>393</v>
      </c>
      <c r="AF47" s="95"/>
      <c r="AG47" s="95"/>
      <c r="AH47" s="95"/>
    </row>
    <row r="48" spans="2:34" ht="52.5" customHeight="1" x14ac:dyDescent="0.25">
      <c r="B48" s="140" t="s">
        <v>394</v>
      </c>
      <c r="C48" s="140"/>
      <c r="D48" s="140"/>
      <c r="E48" s="140"/>
      <c r="F48" s="140"/>
      <c r="G48" s="140"/>
      <c r="I48" s="142" t="s">
        <v>395</v>
      </c>
      <c r="J48" s="142"/>
      <c r="K48" s="142"/>
      <c r="L48" s="142"/>
      <c r="M48" s="142"/>
      <c r="N48" s="142"/>
      <c r="P48" s="142" t="s">
        <v>396</v>
      </c>
      <c r="Q48" s="142"/>
      <c r="R48" s="142"/>
      <c r="S48" s="142"/>
      <c r="T48" s="142"/>
      <c r="U48" s="142"/>
      <c r="W48" s="142" t="s">
        <v>397</v>
      </c>
      <c r="X48" s="142"/>
      <c r="Y48" s="142"/>
      <c r="Z48" s="142"/>
      <c r="AA48" s="142"/>
      <c r="AB48" s="142"/>
    </row>
    <row r="51" spans="35:35" x14ac:dyDescent="0.25">
      <c r="AI51" t="s">
        <v>398</v>
      </c>
    </row>
    <row r="58" spans="35:35" x14ac:dyDescent="0.25">
      <c r="AI58" t="s">
        <v>399</v>
      </c>
    </row>
    <row r="67" spans="2:35" ht="18.75" x14ac:dyDescent="0.3">
      <c r="B67" s="94" t="s">
        <v>400</v>
      </c>
    </row>
    <row r="69" spans="2:35" ht="64.5" customHeight="1" x14ac:dyDescent="0.25">
      <c r="B69" s="140" t="s">
        <v>401</v>
      </c>
      <c r="C69" s="140"/>
      <c r="D69" s="140"/>
      <c r="E69" s="140"/>
      <c r="F69" s="140"/>
      <c r="G69" s="140"/>
      <c r="I69" s="142" t="s">
        <v>402</v>
      </c>
      <c r="J69" s="142"/>
      <c r="K69" s="142"/>
      <c r="L69" s="142"/>
      <c r="M69" s="142"/>
      <c r="N69" s="142"/>
      <c r="P69" s="142" t="s">
        <v>403</v>
      </c>
      <c r="Q69" s="142"/>
      <c r="R69" s="142"/>
      <c r="S69" s="142"/>
      <c r="T69" s="142"/>
      <c r="U69" s="142"/>
      <c r="W69" s="142" t="s">
        <v>404</v>
      </c>
      <c r="X69" s="142"/>
      <c r="Y69" s="142"/>
      <c r="Z69" s="142"/>
      <c r="AA69" s="142"/>
      <c r="AB69" s="142"/>
    </row>
    <row r="70" spans="2:35" x14ac:dyDescent="0.25">
      <c r="AI70" t="s">
        <v>398</v>
      </c>
    </row>
    <row r="77" spans="2:35" x14ac:dyDescent="0.25">
      <c r="AI77" t="s">
        <v>399</v>
      </c>
    </row>
    <row r="88" spans="2:35" ht="18.75" x14ac:dyDescent="0.3">
      <c r="B88" s="94" t="s">
        <v>405</v>
      </c>
    </row>
    <row r="90" spans="2:35" ht="57" customHeight="1" x14ac:dyDescent="0.25">
      <c r="B90" s="140" t="s">
        <v>406</v>
      </c>
      <c r="C90" s="140"/>
      <c r="D90" s="140"/>
      <c r="E90" s="140"/>
      <c r="F90" s="140"/>
      <c r="G90" s="140"/>
      <c r="I90" s="140" t="s">
        <v>407</v>
      </c>
      <c r="J90" s="140"/>
      <c r="K90" s="140"/>
      <c r="L90" s="140"/>
      <c r="M90" s="140"/>
      <c r="N90" s="140"/>
      <c r="P90" s="142" t="s">
        <v>408</v>
      </c>
      <c r="Q90" s="142"/>
      <c r="R90" s="142"/>
      <c r="S90" s="142"/>
      <c r="T90" s="142"/>
      <c r="U90" s="142"/>
      <c r="W90" s="142" t="s">
        <v>409</v>
      </c>
      <c r="X90" s="142"/>
      <c r="Y90" s="142"/>
      <c r="Z90" s="142"/>
      <c r="AA90" s="142"/>
      <c r="AB90" s="142"/>
    </row>
    <row r="94" spans="2:35" x14ac:dyDescent="0.25">
      <c r="AI94" t="s">
        <v>398</v>
      </c>
    </row>
    <row r="101" spans="2:35" x14ac:dyDescent="0.25">
      <c r="AI101" t="s">
        <v>399</v>
      </c>
    </row>
    <row r="108" spans="2:35" ht="18.75" x14ac:dyDescent="0.3">
      <c r="B108" s="94" t="s">
        <v>410</v>
      </c>
    </row>
    <row r="110" spans="2:35" ht="51.75" customHeight="1" x14ac:dyDescent="0.25">
      <c r="B110" s="140" t="s">
        <v>411</v>
      </c>
      <c r="C110" s="140"/>
      <c r="D110" s="140"/>
      <c r="E110" s="140"/>
      <c r="F110" s="140"/>
      <c r="G110" s="140"/>
      <c r="I110" s="140" t="s">
        <v>412</v>
      </c>
      <c r="J110" s="140"/>
      <c r="K110" s="140"/>
      <c r="L110" s="140"/>
      <c r="M110" s="140"/>
      <c r="N110" s="140"/>
      <c r="P110" s="140" t="s">
        <v>413</v>
      </c>
      <c r="Q110" s="140"/>
      <c r="R110" s="140"/>
      <c r="S110" s="140"/>
      <c r="T110" s="140"/>
      <c r="U110" s="140"/>
      <c r="W110" s="140" t="s">
        <v>414</v>
      </c>
      <c r="X110" s="140"/>
      <c r="Y110" s="140"/>
      <c r="Z110" s="140"/>
      <c r="AA110" s="140"/>
      <c r="AB110" s="140"/>
    </row>
    <row r="112" spans="2:35" x14ac:dyDescent="0.25">
      <c r="AI112" t="s">
        <v>398</v>
      </c>
    </row>
    <row r="119" spans="2:35" x14ac:dyDescent="0.25">
      <c r="AI119" t="s">
        <v>399</v>
      </c>
    </row>
    <row r="128" spans="2:35" ht="18.75" x14ac:dyDescent="0.3">
      <c r="B128" s="94" t="s">
        <v>415</v>
      </c>
    </row>
    <row r="130" spans="2:35" ht="59.25" customHeight="1" x14ac:dyDescent="0.25">
      <c r="B130" s="140" t="s">
        <v>416</v>
      </c>
      <c r="C130" s="140"/>
      <c r="D130" s="140"/>
      <c r="E130" s="140"/>
      <c r="F130" s="140"/>
      <c r="G130" s="140"/>
      <c r="I130" s="140" t="s">
        <v>417</v>
      </c>
      <c r="J130" s="140"/>
      <c r="K130" s="140"/>
      <c r="L130" s="140"/>
      <c r="M130" s="140"/>
      <c r="N130" s="140"/>
      <c r="P130" s="140" t="s">
        <v>418</v>
      </c>
      <c r="Q130" s="140"/>
      <c r="R130" s="140"/>
      <c r="S130" s="140"/>
      <c r="T130" s="140"/>
      <c r="U130" s="140"/>
      <c r="W130" s="140" t="s">
        <v>419</v>
      </c>
      <c r="X130" s="140"/>
      <c r="Y130" s="140"/>
      <c r="Z130" s="140"/>
      <c r="AA130" s="140"/>
      <c r="AB130" s="140"/>
    </row>
    <row r="132" spans="2:35" x14ac:dyDescent="0.25">
      <c r="AI132" t="s">
        <v>398</v>
      </c>
    </row>
    <row r="139" spans="2:35" x14ac:dyDescent="0.25">
      <c r="AI139" t="s">
        <v>399</v>
      </c>
    </row>
    <row r="148" spans="2:35" ht="18.75" x14ac:dyDescent="0.3">
      <c r="B148" s="94" t="s">
        <v>420</v>
      </c>
    </row>
    <row r="150" spans="2:35" ht="54.75" customHeight="1" x14ac:dyDescent="0.25">
      <c r="B150" s="140" t="s">
        <v>421</v>
      </c>
      <c r="C150" s="140"/>
      <c r="D150" s="140"/>
      <c r="E150" s="140"/>
      <c r="F150" s="140"/>
      <c r="G150" s="140"/>
      <c r="I150" s="140" t="s">
        <v>422</v>
      </c>
      <c r="J150" s="140"/>
      <c r="K150" s="140"/>
      <c r="L150" s="140"/>
      <c r="M150" s="140"/>
      <c r="N150" s="140"/>
      <c r="P150" s="140" t="s">
        <v>423</v>
      </c>
      <c r="Q150" s="140"/>
      <c r="R150" s="140"/>
      <c r="S150" s="140"/>
      <c r="T150" s="140"/>
      <c r="U150" s="140"/>
      <c r="W150" s="140" t="s">
        <v>424</v>
      </c>
      <c r="X150" s="140"/>
      <c r="Y150" s="140"/>
      <c r="Z150" s="140"/>
      <c r="AA150" s="140"/>
      <c r="AB150" s="140"/>
    </row>
    <row r="152" spans="2:35" x14ac:dyDescent="0.25">
      <c r="AI152" t="s">
        <v>398</v>
      </c>
    </row>
    <row r="159" spans="2:35" x14ac:dyDescent="0.25">
      <c r="AI159" t="s">
        <v>399</v>
      </c>
    </row>
    <row r="168" spans="2:28" ht="18.75" x14ac:dyDescent="0.3">
      <c r="B168" s="94" t="s">
        <v>425</v>
      </c>
    </row>
    <row r="170" spans="2:28" ht="57.75" customHeight="1" x14ac:dyDescent="0.25">
      <c r="B170" s="140" t="s">
        <v>426</v>
      </c>
      <c r="C170" s="140"/>
      <c r="D170" s="140"/>
      <c r="E170" s="140"/>
      <c r="F170" s="140"/>
      <c r="G170" s="140"/>
      <c r="I170" s="140" t="s">
        <v>427</v>
      </c>
      <c r="J170" s="140"/>
      <c r="K170" s="140"/>
      <c r="L170" s="140"/>
      <c r="M170" s="140"/>
      <c r="N170" s="140"/>
      <c r="P170" s="140" t="s">
        <v>428</v>
      </c>
      <c r="Q170" s="140"/>
      <c r="R170" s="140"/>
      <c r="S170" s="140"/>
      <c r="T170" s="140"/>
      <c r="U170" s="140"/>
      <c r="W170" s="140" t="s">
        <v>429</v>
      </c>
      <c r="X170" s="140"/>
      <c r="Y170" s="140"/>
      <c r="Z170" s="140"/>
      <c r="AA170" s="140"/>
      <c r="AB170" s="140"/>
    </row>
    <row r="188" spans="2:30" ht="18.75" x14ac:dyDescent="0.3">
      <c r="B188" s="94" t="s">
        <v>430</v>
      </c>
    </row>
    <row r="190" spans="2:30" ht="54.75" customHeight="1" x14ac:dyDescent="0.25">
      <c r="B190" s="140" t="s">
        <v>431</v>
      </c>
      <c r="C190" s="140"/>
      <c r="D190" s="140"/>
      <c r="E190" s="140"/>
      <c r="F190" s="140"/>
      <c r="G190" s="140"/>
      <c r="I190" s="140" t="s">
        <v>432</v>
      </c>
      <c r="J190" s="140"/>
      <c r="K190" s="140"/>
      <c r="L190" s="140"/>
      <c r="M190" s="140"/>
      <c r="N190" s="140"/>
      <c r="P190" s="140" t="s">
        <v>433</v>
      </c>
      <c r="Q190" s="140"/>
      <c r="R190" s="140"/>
      <c r="S190" s="140"/>
      <c r="T190" s="140"/>
      <c r="U190" s="140"/>
      <c r="W190" s="140" t="s">
        <v>434</v>
      </c>
      <c r="X190" s="140"/>
      <c r="Y190" s="140"/>
      <c r="Z190" s="140"/>
      <c r="AA190" s="140"/>
      <c r="AB190" s="140"/>
    </row>
    <row r="192" spans="2:30" x14ac:dyDescent="0.25">
      <c r="AD192" t="s">
        <v>435</v>
      </c>
    </row>
    <row r="208" spans="2:2" ht="18.75" x14ac:dyDescent="0.3">
      <c r="B208" s="94" t="s">
        <v>436</v>
      </c>
    </row>
    <row r="210" spans="2:28" ht="39.950000000000003" customHeight="1" x14ac:dyDescent="0.25">
      <c r="B210" s="140" t="s">
        <v>437</v>
      </c>
      <c r="C210" s="140"/>
      <c r="D210" s="140"/>
      <c r="E210" s="140"/>
      <c r="F210" s="140"/>
      <c r="G210" s="140"/>
      <c r="I210" s="140" t="s">
        <v>438</v>
      </c>
      <c r="J210" s="140"/>
      <c r="K210" s="140"/>
      <c r="L210" s="140"/>
      <c r="M210" s="140"/>
      <c r="N210" s="140"/>
      <c r="P210" s="140" t="s">
        <v>439</v>
      </c>
      <c r="Q210" s="140"/>
      <c r="R210" s="140"/>
      <c r="S210" s="140"/>
      <c r="T210" s="140"/>
      <c r="U210" s="140"/>
      <c r="W210" s="140" t="s">
        <v>440</v>
      </c>
      <c r="X210" s="140"/>
      <c r="Y210" s="140"/>
      <c r="Z210" s="140"/>
      <c r="AA210" s="140"/>
      <c r="AB210" s="140"/>
    </row>
    <row r="228" spans="2:14" ht="18.75" x14ac:dyDescent="0.3">
      <c r="B228" s="94" t="s">
        <v>441</v>
      </c>
    </row>
    <row r="230" spans="2:14" ht="39.950000000000003" customHeight="1" x14ac:dyDescent="0.25">
      <c r="B230" s="140" t="s">
        <v>442</v>
      </c>
      <c r="C230" s="140"/>
      <c r="D230" s="140"/>
      <c r="E230" s="140"/>
      <c r="F230" s="140"/>
      <c r="G230" s="140"/>
      <c r="I230" s="140" t="s">
        <v>443</v>
      </c>
      <c r="J230" s="140"/>
      <c r="K230" s="140"/>
      <c r="L230" s="140"/>
      <c r="M230" s="140"/>
      <c r="N230" s="140"/>
    </row>
    <row r="248" spans="2:17" ht="18.75" x14ac:dyDescent="0.3">
      <c r="B248" s="94" t="s">
        <v>444</v>
      </c>
    </row>
    <row r="250" spans="2:17" ht="62.1" customHeight="1" x14ac:dyDescent="0.25">
      <c r="B250" s="140" t="s">
        <v>445</v>
      </c>
      <c r="C250" s="140"/>
      <c r="D250" s="140"/>
      <c r="E250" s="140"/>
      <c r="F250" s="140"/>
      <c r="G250" s="140"/>
      <c r="I250" s="140" t="s">
        <v>446</v>
      </c>
      <c r="J250" s="140"/>
      <c r="K250" s="140"/>
      <c r="L250" s="140"/>
      <c r="M250" s="140"/>
      <c r="N250" s="140"/>
      <c r="O250" s="140"/>
      <c r="P250" s="140"/>
      <c r="Q250" s="140"/>
    </row>
    <row r="275" spans="2:17" ht="18.75" x14ac:dyDescent="0.3">
      <c r="B275" s="94" t="s">
        <v>447</v>
      </c>
    </row>
    <row r="277" spans="2:17" ht="39.950000000000003" customHeight="1" x14ac:dyDescent="0.25">
      <c r="B277" s="140" t="s">
        <v>448</v>
      </c>
      <c r="C277" s="140"/>
      <c r="D277" s="140"/>
      <c r="E277" s="140"/>
      <c r="F277" s="140"/>
      <c r="G277" s="140"/>
      <c r="I277" s="140" t="s">
        <v>449</v>
      </c>
      <c r="J277" s="140"/>
      <c r="K277" s="140"/>
      <c r="L277" s="140"/>
      <c r="M277" s="140"/>
      <c r="N277" s="140"/>
      <c r="O277" s="140"/>
      <c r="P277" s="140"/>
      <c r="Q277" s="140"/>
    </row>
    <row r="303" spans="2:2" ht="18.75" x14ac:dyDescent="0.3">
      <c r="B303" s="94" t="s">
        <v>450</v>
      </c>
    </row>
    <row r="305" spans="2:14" ht="39.950000000000003" customHeight="1" x14ac:dyDescent="0.25">
      <c r="B305" s="140" t="s">
        <v>451</v>
      </c>
      <c r="C305" s="140"/>
      <c r="D305" s="140"/>
      <c r="E305" s="140"/>
      <c r="F305" s="140"/>
      <c r="G305" s="140"/>
      <c r="I305" s="140" t="s">
        <v>452</v>
      </c>
      <c r="J305" s="140"/>
      <c r="K305" s="140"/>
      <c r="L305" s="140"/>
      <c r="M305" s="140"/>
      <c r="N305" s="140"/>
    </row>
    <row r="323" spans="2:14" ht="18.75" x14ac:dyDescent="0.3">
      <c r="B323" s="94" t="s">
        <v>453</v>
      </c>
    </row>
    <row r="325" spans="2:14" ht="39.950000000000003" customHeight="1" x14ac:dyDescent="0.25">
      <c r="B325" s="140" t="s">
        <v>454</v>
      </c>
      <c r="C325" s="140"/>
      <c r="D325" s="140"/>
      <c r="E325" s="140"/>
      <c r="F325" s="140"/>
      <c r="G325" s="140"/>
      <c r="I325" s="140" t="s">
        <v>455</v>
      </c>
      <c r="J325" s="140"/>
      <c r="K325" s="140"/>
      <c r="L325" s="140"/>
      <c r="M325" s="140"/>
      <c r="N325" s="140"/>
    </row>
    <row r="343" spans="2:14" ht="18.75" x14ac:dyDescent="0.3">
      <c r="B343" s="94" t="s">
        <v>456</v>
      </c>
      <c r="I343" s="94" t="s">
        <v>457</v>
      </c>
    </row>
    <row r="345" spans="2:14" ht="39.950000000000003" customHeight="1" x14ac:dyDescent="0.25">
      <c r="B345" s="140" t="s">
        <v>458</v>
      </c>
      <c r="C345" s="140"/>
      <c r="D345" s="140"/>
      <c r="E345" s="140"/>
      <c r="F345" s="140"/>
      <c r="G345" s="140"/>
      <c r="I345" s="140" t="s">
        <v>459</v>
      </c>
      <c r="J345" s="140"/>
      <c r="K345" s="140"/>
      <c r="L345" s="140"/>
      <c r="M345" s="140"/>
      <c r="N345" s="140"/>
    </row>
    <row r="363" spans="2:14" ht="18.75" x14ac:dyDescent="0.3">
      <c r="B363" s="94" t="s">
        <v>460</v>
      </c>
    </row>
    <row r="365" spans="2:14" ht="57.6" customHeight="1" x14ac:dyDescent="0.25">
      <c r="B365" s="140" t="s">
        <v>461</v>
      </c>
      <c r="C365" s="140"/>
      <c r="D365" s="140"/>
      <c r="E365" s="140"/>
      <c r="F365" s="140"/>
      <c r="G365" s="140"/>
      <c r="I365" s="140" t="s">
        <v>462</v>
      </c>
      <c r="J365" s="140"/>
      <c r="K365" s="140"/>
      <c r="L365" s="140"/>
      <c r="M365" s="140"/>
      <c r="N365" s="140"/>
    </row>
    <row r="385" spans="2:14" ht="18.75" x14ac:dyDescent="0.3">
      <c r="B385" s="94" t="s">
        <v>463</v>
      </c>
    </row>
    <row r="387" spans="2:14" ht="39.950000000000003" customHeight="1" x14ac:dyDescent="0.25">
      <c r="B387" s="140" t="s">
        <v>464</v>
      </c>
      <c r="C387" s="140"/>
      <c r="D387" s="140"/>
      <c r="E387" s="140"/>
      <c r="F387" s="140"/>
      <c r="G387" s="140"/>
      <c r="I387" s="140" t="s">
        <v>465</v>
      </c>
      <c r="J387" s="140"/>
      <c r="K387" s="140"/>
      <c r="L387" s="140"/>
      <c r="M387" s="140"/>
      <c r="N387" s="140"/>
    </row>
    <row r="407" spans="2:22" ht="18.75" x14ac:dyDescent="0.3">
      <c r="B407" s="94" t="s">
        <v>466</v>
      </c>
      <c r="I407" s="94" t="s">
        <v>467</v>
      </c>
      <c r="Q407" s="94" t="s">
        <v>468</v>
      </c>
    </row>
    <row r="409" spans="2:22" ht="53.45" customHeight="1" x14ac:dyDescent="0.25">
      <c r="B409" s="140" t="s">
        <v>469</v>
      </c>
      <c r="C409" s="140"/>
      <c r="D409" s="140"/>
      <c r="E409" s="140"/>
      <c r="F409" s="140"/>
      <c r="G409" s="140"/>
      <c r="I409" s="140" t="s">
        <v>470</v>
      </c>
      <c r="J409" s="140"/>
      <c r="K409" s="140"/>
      <c r="L409" s="140"/>
      <c r="M409" s="140"/>
      <c r="N409" s="140"/>
      <c r="Q409" s="140" t="s">
        <v>471</v>
      </c>
      <c r="R409" s="140"/>
      <c r="S409" s="140"/>
      <c r="T409" s="140"/>
      <c r="U409" s="140"/>
      <c r="V409" s="140"/>
    </row>
    <row r="428" spans="2:14" ht="18.75" x14ac:dyDescent="0.3">
      <c r="B428" s="94" t="s">
        <v>472</v>
      </c>
    </row>
    <row r="430" spans="2:14" ht="39.950000000000003" customHeight="1" x14ac:dyDescent="0.25">
      <c r="B430" s="140" t="s">
        <v>473</v>
      </c>
      <c r="C430" s="140"/>
      <c r="D430" s="140"/>
      <c r="E430" s="140"/>
      <c r="F430" s="140"/>
      <c r="G430" s="140"/>
      <c r="I430" s="140" t="s">
        <v>474</v>
      </c>
      <c r="J430" s="140"/>
      <c r="K430" s="140"/>
      <c r="L430" s="140"/>
      <c r="M430" s="140"/>
      <c r="N430" s="140"/>
    </row>
    <row r="448" spans="2:2" ht="18.75" x14ac:dyDescent="0.3">
      <c r="B448" s="94" t="s">
        <v>475</v>
      </c>
    </row>
    <row r="450" spans="2:14" ht="39.950000000000003" customHeight="1" x14ac:dyDescent="0.25">
      <c r="B450" s="140" t="s">
        <v>476</v>
      </c>
      <c r="C450" s="140"/>
      <c r="D450" s="140"/>
      <c r="E450" s="140"/>
      <c r="F450" s="140"/>
      <c r="G450" s="140"/>
      <c r="I450" s="140" t="s">
        <v>477</v>
      </c>
      <c r="J450" s="140"/>
      <c r="K450" s="140"/>
      <c r="L450" s="140"/>
      <c r="M450" s="140"/>
      <c r="N450" s="140"/>
    </row>
    <row r="468" spans="2:14" ht="18.75" x14ac:dyDescent="0.3">
      <c r="B468" s="94" t="s">
        <v>478</v>
      </c>
    </row>
    <row r="470" spans="2:14" ht="39.950000000000003" customHeight="1" x14ac:dyDescent="0.25">
      <c r="B470" s="140" t="s">
        <v>479</v>
      </c>
      <c r="C470" s="140"/>
      <c r="D470" s="140"/>
      <c r="E470" s="140"/>
      <c r="F470" s="140"/>
      <c r="G470" s="140"/>
      <c r="I470" s="140" t="s">
        <v>480</v>
      </c>
      <c r="J470" s="140"/>
      <c r="K470" s="140"/>
      <c r="L470" s="140"/>
      <c r="M470" s="140"/>
      <c r="N470" s="140"/>
    </row>
    <row r="489" spans="2:7" ht="18.75" x14ac:dyDescent="0.3">
      <c r="B489" s="94" t="s">
        <v>481</v>
      </c>
    </row>
    <row r="491" spans="2:7" ht="39.950000000000003" customHeight="1" x14ac:dyDescent="0.25">
      <c r="B491" s="140" t="s">
        <v>482</v>
      </c>
      <c r="C491" s="140"/>
      <c r="D491" s="140"/>
      <c r="E491" s="140"/>
      <c r="F491" s="140"/>
      <c r="G491" s="140"/>
    </row>
    <row r="509" spans="2:14" ht="18.75" x14ac:dyDescent="0.3">
      <c r="B509" s="94" t="s">
        <v>483</v>
      </c>
    </row>
    <row r="511" spans="2:14" ht="39.950000000000003" customHeight="1" x14ac:dyDescent="0.25">
      <c r="B511" s="140" t="s">
        <v>484</v>
      </c>
      <c r="C511" s="140"/>
      <c r="D511" s="140"/>
      <c r="E511" s="140"/>
      <c r="F511" s="140"/>
      <c r="G511" s="140"/>
      <c r="I511" s="140" t="s">
        <v>485</v>
      </c>
      <c r="J511" s="140"/>
      <c r="K511" s="140"/>
      <c r="L511" s="140"/>
      <c r="M511" s="140"/>
      <c r="N511" s="140"/>
    </row>
    <row r="531" spans="2:14" ht="18.75" x14ac:dyDescent="0.3">
      <c r="B531" s="94" t="s">
        <v>486</v>
      </c>
    </row>
    <row r="533" spans="2:14" ht="39.950000000000003" customHeight="1" x14ac:dyDescent="0.25">
      <c r="B533" s="140" t="s">
        <v>487</v>
      </c>
      <c r="C533" s="140"/>
      <c r="D533" s="140"/>
      <c r="E533" s="140"/>
      <c r="F533" s="140"/>
      <c r="G533" s="140"/>
      <c r="I533" s="140" t="s">
        <v>488</v>
      </c>
      <c r="J533" s="140"/>
      <c r="K533" s="140"/>
      <c r="L533" s="140"/>
      <c r="M533" s="140"/>
      <c r="N533" s="140"/>
    </row>
    <row r="556" spans="2:27" ht="18.75" x14ac:dyDescent="0.3">
      <c r="B556" s="94" t="s">
        <v>489</v>
      </c>
    </row>
    <row r="558" spans="2:27" ht="39.950000000000003" customHeight="1" x14ac:dyDescent="0.25">
      <c r="B558" s="140" t="s">
        <v>490</v>
      </c>
      <c r="C558" s="140"/>
      <c r="D558" s="140"/>
      <c r="E558" s="140"/>
      <c r="F558" s="140"/>
      <c r="G558" s="140"/>
      <c r="I558" s="140" t="s">
        <v>491</v>
      </c>
      <c r="J558" s="140"/>
      <c r="K558" s="140"/>
      <c r="L558" s="140"/>
      <c r="M558" s="140"/>
      <c r="N558" s="140"/>
      <c r="O558" s="140"/>
      <c r="P558" s="140"/>
      <c r="Q558" s="140"/>
      <c r="S558" s="140" t="s">
        <v>492</v>
      </c>
      <c r="T558" s="140"/>
      <c r="U558" s="140"/>
      <c r="V558" s="140"/>
      <c r="W558" s="140"/>
      <c r="X558" s="140"/>
      <c r="Y558" s="140"/>
      <c r="Z558" s="117"/>
      <c r="AA558" s="117"/>
    </row>
    <row r="583" spans="2:15" ht="18.75" x14ac:dyDescent="0.3">
      <c r="B583" s="94" t="s">
        <v>493</v>
      </c>
    </row>
    <row r="585" spans="2:15" ht="39.950000000000003" customHeight="1" x14ac:dyDescent="0.25">
      <c r="B585" s="140" t="s">
        <v>494</v>
      </c>
      <c r="C585" s="140"/>
      <c r="D585" s="140"/>
      <c r="E585" s="140"/>
      <c r="F585" s="140"/>
      <c r="G585" s="140"/>
      <c r="I585" s="140" t="s">
        <v>495</v>
      </c>
      <c r="J585" s="140"/>
      <c r="K585" s="140"/>
      <c r="L585" s="140"/>
      <c r="M585" s="140"/>
      <c r="N585" s="140"/>
      <c r="O585" s="117"/>
    </row>
    <row r="603" spans="2:14" ht="18.75" x14ac:dyDescent="0.3">
      <c r="B603" s="94" t="s">
        <v>496</v>
      </c>
    </row>
    <row r="605" spans="2:14" ht="39.950000000000003" customHeight="1" x14ac:dyDescent="0.25">
      <c r="B605" s="140" t="s">
        <v>497</v>
      </c>
      <c r="C605" s="140"/>
      <c r="D605" s="140"/>
      <c r="E605" s="140"/>
      <c r="F605" s="140"/>
      <c r="G605" s="140"/>
      <c r="I605" s="140" t="s">
        <v>498</v>
      </c>
      <c r="J605" s="140"/>
      <c r="K605" s="140"/>
      <c r="L605" s="140"/>
      <c r="M605" s="140"/>
      <c r="N605" s="140"/>
    </row>
    <row r="623" spans="2:2" ht="18.75" x14ac:dyDescent="0.3">
      <c r="B623" s="94" t="s">
        <v>499</v>
      </c>
    </row>
    <row r="625" spans="2:14" ht="39.950000000000003" customHeight="1" x14ac:dyDescent="0.25">
      <c r="B625" s="140" t="s">
        <v>500</v>
      </c>
      <c r="C625" s="140"/>
      <c r="D625" s="140"/>
      <c r="E625" s="140"/>
      <c r="F625" s="140"/>
      <c r="G625" s="140"/>
      <c r="I625" s="140" t="s">
        <v>501</v>
      </c>
      <c r="J625" s="140"/>
      <c r="K625" s="140"/>
      <c r="L625" s="140"/>
      <c r="M625" s="140"/>
      <c r="N625" s="140"/>
    </row>
    <row r="643" spans="2:14" ht="18.75" x14ac:dyDescent="0.3">
      <c r="B643" s="94" t="s">
        <v>502</v>
      </c>
    </row>
    <row r="645" spans="2:14" ht="39.950000000000003" customHeight="1" x14ac:dyDescent="0.25">
      <c r="B645" s="140" t="s">
        <v>503</v>
      </c>
      <c r="C645" s="140"/>
      <c r="D645" s="140"/>
      <c r="E645" s="140"/>
      <c r="F645" s="140"/>
      <c r="G645" s="140"/>
      <c r="I645" s="140" t="s">
        <v>504</v>
      </c>
      <c r="J645" s="140"/>
      <c r="K645" s="140"/>
      <c r="L645" s="140"/>
      <c r="M645" s="140"/>
      <c r="N645" s="140"/>
    </row>
    <row r="663" spans="2:14" ht="18.75" x14ac:dyDescent="0.3">
      <c r="B663" s="94" t="s">
        <v>505</v>
      </c>
    </row>
    <row r="665" spans="2:14" ht="39.950000000000003" customHeight="1" x14ac:dyDescent="0.25">
      <c r="B665" s="140" t="s">
        <v>506</v>
      </c>
      <c r="C665" s="140"/>
      <c r="D665" s="140"/>
      <c r="E665" s="140"/>
      <c r="F665" s="140"/>
      <c r="G665" s="140"/>
      <c r="I665" s="140" t="s">
        <v>507</v>
      </c>
      <c r="J665" s="140"/>
      <c r="K665" s="140"/>
      <c r="L665" s="140"/>
      <c r="M665" s="140"/>
      <c r="N665" s="140"/>
    </row>
    <row r="683" spans="2:14" ht="18.75" x14ac:dyDescent="0.3">
      <c r="B683" s="94" t="s">
        <v>508</v>
      </c>
    </row>
    <row r="685" spans="2:14" ht="39.950000000000003" customHeight="1" x14ac:dyDescent="0.25">
      <c r="B685" s="140" t="s">
        <v>509</v>
      </c>
      <c r="C685" s="140"/>
      <c r="D685" s="140"/>
      <c r="E685" s="140"/>
      <c r="F685" s="140"/>
      <c r="G685" s="140"/>
      <c r="I685" s="140" t="s">
        <v>510</v>
      </c>
      <c r="J685" s="140"/>
      <c r="K685" s="140"/>
      <c r="L685" s="140"/>
      <c r="M685" s="140"/>
      <c r="N685" s="140"/>
    </row>
    <row r="703" spans="2:2" ht="18.75" x14ac:dyDescent="0.3">
      <c r="B703" s="94" t="s">
        <v>511</v>
      </c>
    </row>
    <row r="705" spans="2:14" ht="39.950000000000003" customHeight="1" x14ac:dyDescent="0.25">
      <c r="B705" s="140" t="s">
        <v>512</v>
      </c>
      <c r="C705" s="140"/>
      <c r="D705" s="140"/>
      <c r="E705" s="140"/>
      <c r="F705" s="140"/>
      <c r="G705" s="140"/>
      <c r="I705" s="140" t="s">
        <v>513</v>
      </c>
      <c r="J705" s="140"/>
      <c r="K705" s="140"/>
      <c r="L705" s="140"/>
      <c r="M705" s="140"/>
      <c r="N705" s="140"/>
    </row>
    <row r="723" spans="2:7" ht="18.75" x14ac:dyDescent="0.3">
      <c r="B723" s="94" t="s">
        <v>514</v>
      </c>
    </row>
    <row r="725" spans="2:7" ht="39.950000000000003" customHeight="1" x14ac:dyDescent="0.25">
      <c r="B725" s="140" t="s">
        <v>515</v>
      </c>
      <c r="C725" s="140"/>
      <c r="D725" s="140"/>
      <c r="E725" s="140"/>
      <c r="F725" s="140"/>
      <c r="G725" s="140"/>
    </row>
    <row r="743" spans="2:14" ht="18.75" x14ac:dyDescent="0.3">
      <c r="B743" s="94" t="s">
        <v>516</v>
      </c>
    </row>
    <row r="745" spans="2:14" ht="39.950000000000003" customHeight="1" x14ac:dyDescent="0.25">
      <c r="B745" s="140" t="s">
        <v>517</v>
      </c>
      <c r="C745" s="140"/>
      <c r="D745" s="140"/>
      <c r="E745" s="140"/>
      <c r="F745" s="140"/>
      <c r="G745" s="140"/>
      <c r="I745" s="140" t="s">
        <v>518</v>
      </c>
      <c r="J745" s="140"/>
      <c r="K745" s="140"/>
      <c r="L745" s="140"/>
      <c r="M745" s="140"/>
      <c r="N745" s="140"/>
    </row>
    <row r="763" spans="2:14" ht="18.75" x14ac:dyDescent="0.3">
      <c r="B763" s="94" t="s">
        <v>519</v>
      </c>
    </row>
    <row r="765" spans="2:14" ht="39.950000000000003" customHeight="1" x14ac:dyDescent="0.25">
      <c r="B765" s="140" t="s">
        <v>520</v>
      </c>
      <c r="C765" s="140"/>
      <c r="D765" s="140"/>
      <c r="E765" s="140"/>
      <c r="F765" s="140"/>
      <c r="G765" s="140"/>
      <c r="I765" s="140" t="s">
        <v>521</v>
      </c>
      <c r="J765" s="140"/>
      <c r="K765" s="140"/>
      <c r="L765" s="140"/>
      <c r="M765" s="140"/>
      <c r="N765" s="140"/>
    </row>
    <row r="783" spans="2:2" ht="18.75" x14ac:dyDescent="0.3">
      <c r="B783" s="94" t="s">
        <v>522</v>
      </c>
    </row>
    <row r="785" spans="2:14" ht="39.950000000000003" customHeight="1" x14ac:dyDescent="0.25">
      <c r="B785" s="140" t="s">
        <v>523</v>
      </c>
      <c r="C785" s="140"/>
      <c r="D785" s="140"/>
      <c r="E785" s="140"/>
      <c r="F785" s="140"/>
      <c r="G785" s="140"/>
      <c r="I785" s="140" t="s">
        <v>524</v>
      </c>
      <c r="J785" s="140"/>
      <c r="K785" s="140"/>
      <c r="L785" s="140"/>
      <c r="M785" s="140"/>
      <c r="N785" s="140"/>
    </row>
    <row r="803" spans="2:14" ht="18.75" x14ac:dyDescent="0.3">
      <c r="B803" s="94" t="s">
        <v>525</v>
      </c>
    </row>
    <row r="805" spans="2:14" ht="39.950000000000003" customHeight="1" x14ac:dyDescent="0.25">
      <c r="B805" s="140" t="s">
        <v>526</v>
      </c>
      <c r="C805" s="140"/>
      <c r="D805" s="140"/>
      <c r="E805" s="140"/>
      <c r="F805" s="140"/>
      <c r="G805" s="140"/>
      <c r="I805" s="140" t="s">
        <v>527</v>
      </c>
      <c r="J805" s="140"/>
      <c r="K805" s="140"/>
      <c r="L805" s="140"/>
      <c r="M805" s="140"/>
      <c r="N805" s="140"/>
    </row>
    <row r="824" spans="2:14" ht="18.75" x14ac:dyDescent="0.3">
      <c r="B824" s="94" t="s">
        <v>528</v>
      </c>
    </row>
    <row r="826" spans="2:14" ht="39.950000000000003" customHeight="1" x14ac:dyDescent="0.25">
      <c r="B826" s="140" t="s">
        <v>529</v>
      </c>
      <c r="C826" s="140"/>
      <c r="D826" s="140"/>
      <c r="E826" s="140"/>
      <c r="F826" s="140"/>
      <c r="G826" s="140"/>
      <c r="I826" s="140" t="s">
        <v>530</v>
      </c>
      <c r="J826" s="140"/>
      <c r="K826" s="140"/>
      <c r="L826" s="140"/>
      <c r="M826" s="140"/>
      <c r="N826" s="140"/>
    </row>
    <row r="844" spans="2:14" ht="18.75" x14ac:dyDescent="0.3">
      <c r="B844" s="94" t="s">
        <v>531</v>
      </c>
    </row>
    <row r="846" spans="2:14" ht="39.950000000000003" customHeight="1" x14ac:dyDescent="0.25">
      <c r="B846" s="140" t="s">
        <v>532</v>
      </c>
      <c r="C846" s="140"/>
      <c r="D846" s="140"/>
      <c r="E846" s="140"/>
      <c r="F846" s="140"/>
      <c r="G846" s="140"/>
      <c r="I846" s="140" t="s">
        <v>533</v>
      </c>
      <c r="J846" s="140"/>
      <c r="K846" s="140"/>
      <c r="L846" s="140"/>
      <c r="M846" s="140"/>
      <c r="N846" s="140"/>
    </row>
    <row r="864" spans="2:2" ht="18.75" x14ac:dyDescent="0.3">
      <c r="B864" s="94" t="s">
        <v>534</v>
      </c>
    </row>
    <row r="866" spans="2:14" ht="39.950000000000003" customHeight="1" x14ac:dyDescent="0.25">
      <c r="B866" s="140" t="s">
        <v>535</v>
      </c>
      <c r="C866" s="140"/>
      <c r="D866" s="140"/>
      <c r="E866" s="140"/>
      <c r="F866" s="140"/>
      <c r="G866" s="140"/>
      <c r="I866" s="140" t="s">
        <v>536</v>
      </c>
      <c r="J866" s="140"/>
      <c r="K866" s="140"/>
      <c r="L866" s="140"/>
      <c r="M866" s="140"/>
      <c r="N866" s="140"/>
    </row>
    <row r="884" spans="2:14" ht="18.75" x14ac:dyDescent="0.3">
      <c r="B884" s="94" t="s">
        <v>537</v>
      </c>
    </row>
    <row r="886" spans="2:14" ht="39.950000000000003" customHeight="1" x14ac:dyDescent="0.25">
      <c r="B886" s="140" t="s">
        <v>538</v>
      </c>
      <c r="C886" s="140"/>
      <c r="D886" s="140"/>
      <c r="E886" s="140"/>
      <c r="F886" s="140"/>
      <c r="G886" s="140"/>
      <c r="I886" s="140" t="s">
        <v>539</v>
      </c>
      <c r="J886" s="140"/>
      <c r="K886" s="140"/>
      <c r="L886" s="140"/>
      <c r="M886" s="140"/>
      <c r="N886" s="140"/>
    </row>
  </sheetData>
  <mergeCells count="106">
    <mergeCell ref="L23:S23"/>
    <mergeCell ref="V23:AC23"/>
    <mergeCell ref="Q5:V5"/>
    <mergeCell ref="B866:G866"/>
    <mergeCell ref="I866:N866"/>
    <mergeCell ref="B886:G886"/>
    <mergeCell ref="I886:N886"/>
    <mergeCell ref="B785:G785"/>
    <mergeCell ref="I785:N785"/>
    <mergeCell ref="B805:G805"/>
    <mergeCell ref="I805:N805"/>
    <mergeCell ref="B826:G826"/>
    <mergeCell ref="I826:N826"/>
    <mergeCell ref="B625:G625"/>
    <mergeCell ref="I625:N625"/>
    <mergeCell ref="B645:G645"/>
    <mergeCell ref="I645:N645"/>
    <mergeCell ref="S558:Y558"/>
    <mergeCell ref="B585:G585"/>
    <mergeCell ref="I585:N585"/>
    <mergeCell ref="W210:AB210"/>
    <mergeCell ref="B846:G846"/>
    <mergeCell ref="I846:N846"/>
    <mergeCell ref="B725:G725"/>
    <mergeCell ref="B745:G745"/>
    <mergeCell ref="I745:N745"/>
    <mergeCell ref="B765:G765"/>
    <mergeCell ref="I765:N765"/>
    <mergeCell ref="B665:G665"/>
    <mergeCell ref="I665:N665"/>
    <mergeCell ref="B685:G685"/>
    <mergeCell ref="I685:N685"/>
    <mergeCell ref="B705:G705"/>
    <mergeCell ref="I705:N705"/>
    <mergeCell ref="B277:G277"/>
    <mergeCell ref="I277:Q277"/>
    <mergeCell ref="B305:G305"/>
    <mergeCell ref="B90:G90"/>
    <mergeCell ref="I90:N90"/>
    <mergeCell ref="P90:U90"/>
    <mergeCell ref="W90:AB90"/>
    <mergeCell ref="B110:G110"/>
    <mergeCell ref="I110:N110"/>
    <mergeCell ref="P110:U110"/>
    <mergeCell ref="B605:G605"/>
    <mergeCell ref="I605:N605"/>
    <mergeCell ref="B190:G190"/>
    <mergeCell ref="I190:N190"/>
    <mergeCell ref="P190:U190"/>
    <mergeCell ref="W190:AB190"/>
    <mergeCell ref="B230:G230"/>
    <mergeCell ref="I230:N230"/>
    <mergeCell ref="B250:G250"/>
    <mergeCell ref="I250:Q250"/>
    <mergeCell ref="B210:G210"/>
    <mergeCell ref="I210:N210"/>
    <mergeCell ref="P210:U210"/>
    <mergeCell ref="B345:G345"/>
    <mergeCell ref="I345:N345"/>
    <mergeCell ref="B365:G365"/>
    <mergeCell ref="I365:N365"/>
    <mergeCell ref="I305:N305"/>
    <mergeCell ref="B325:G325"/>
    <mergeCell ref="I325:N325"/>
    <mergeCell ref="B387:G387"/>
    <mergeCell ref="I387:N387"/>
    <mergeCell ref="B409:G409"/>
    <mergeCell ref="I409:N409"/>
    <mergeCell ref="B5:G5"/>
    <mergeCell ref="B48:G48"/>
    <mergeCell ref="I48:N48"/>
    <mergeCell ref="P48:U48"/>
    <mergeCell ref="W48:AB48"/>
    <mergeCell ref="I5:N5"/>
    <mergeCell ref="B23:I23"/>
    <mergeCell ref="B170:G170"/>
    <mergeCell ref="I170:N170"/>
    <mergeCell ref="P170:U170"/>
    <mergeCell ref="W170:AB170"/>
    <mergeCell ref="B150:G150"/>
    <mergeCell ref="I150:N150"/>
    <mergeCell ref="P150:U150"/>
    <mergeCell ref="W150:AB150"/>
    <mergeCell ref="B69:G69"/>
    <mergeCell ref="I69:N69"/>
    <mergeCell ref="P69:U69"/>
    <mergeCell ref="W69:AB69"/>
    <mergeCell ref="B130:G130"/>
    <mergeCell ref="I130:N130"/>
    <mergeCell ref="P130:U130"/>
    <mergeCell ref="W130:AB130"/>
    <mergeCell ref="W110:AB110"/>
    <mergeCell ref="B430:G430"/>
    <mergeCell ref="I430:N430"/>
    <mergeCell ref="Q409:V409"/>
    <mergeCell ref="B450:G450"/>
    <mergeCell ref="I450:N450"/>
    <mergeCell ref="B470:G470"/>
    <mergeCell ref="I470:N470"/>
    <mergeCell ref="B558:G558"/>
    <mergeCell ref="I558:Q558"/>
    <mergeCell ref="B491:G491"/>
    <mergeCell ref="I511:N511"/>
    <mergeCell ref="B511:G511"/>
    <mergeCell ref="B533:G533"/>
    <mergeCell ref="I533:N533"/>
  </mergeCells>
  <dataValidations count="3">
    <dataValidation allowBlank="1" showInputMessage="1" showErrorMessage="1" prompt="Krav til kvalitet, robuste møbeltekstiler, design for lang levetid, merking av plast, LCC/TCO, enkel rengjøring, bruk av resirkulert materiale, produktet skal kunne materialgjenvinnes" sqref="B250:G250 I250:Q250" xr:uid="{0B0B563D-470B-46B6-AD76-C15C441FB18A}"/>
    <dataValidation allowBlank="1" showInputMessage="1" showErrorMessage="1" prompt="Krav til at leverandøren skal kunne levere brukte møbler, brukte møbler er untatt fra avtalen, leie av møbler, leverandøren skal ta tilbake brukte møbler, leverandøren skal videreselge de brukte møblene, serviceavtale/reparasjonsavtale" sqref="B277:G277" xr:uid="{11286F27-5D99-4140-AB74-F082D9AD87B2}"/>
    <dataValidation allowBlank="1" showInputMessage="1" showErrorMessage="1" prompt="Krav til at leverandøren skal kunne levere brukte møbler, brukte møbler er untatt fra avtalen, leie av møbler, leverandøren skal ta tilbake brukte møbler, leverandøren skal videreselge de brukte møblene, serviceavtale/reparasjonsavtale_x000a_" sqref="I277:Q277" xr:uid="{AF029419-18D3-4830-A133-B717D452D197}"/>
  </dataValidation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C7A949-4EE8-45B7-A103-2642811D1E2A}">
  <dimension ref="A2:BA364"/>
  <sheetViews>
    <sheetView showGridLines="0" topLeftCell="A193" zoomScale="93" zoomScaleNormal="93" workbookViewId="0">
      <selection activeCell="L58" sqref="L58"/>
    </sheetView>
  </sheetViews>
  <sheetFormatPr baseColWidth="10" defaultColWidth="11.42578125" defaultRowHeight="15" x14ac:dyDescent="0.25"/>
  <cols>
    <col min="1" max="1" width="26.140625" customWidth="1"/>
    <col min="2" max="2" width="18.140625" customWidth="1"/>
    <col min="3" max="3" width="20" customWidth="1"/>
    <col min="4" max="4" width="17.28515625" customWidth="1"/>
    <col min="5" max="5" width="17.42578125" customWidth="1"/>
    <col min="6" max="6" width="20" bestFit="1" customWidth="1"/>
    <col min="7" max="8" width="18.28515625" customWidth="1"/>
    <col min="9" max="9" width="19.140625" customWidth="1"/>
    <col min="10" max="10" width="19.85546875" customWidth="1"/>
    <col min="11" max="13" width="18.28515625" customWidth="1"/>
    <col min="14" max="14" width="17.140625" bestFit="1" customWidth="1"/>
    <col min="15" max="15" width="16.140625" customWidth="1"/>
    <col min="16" max="16" width="31.5703125" customWidth="1"/>
    <col min="17" max="17" width="13.5703125" bestFit="1" customWidth="1"/>
    <col min="18" max="18" width="27.85546875" customWidth="1"/>
    <col min="19" max="19" width="27.42578125" customWidth="1"/>
    <col min="21" max="21" width="14.42578125" customWidth="1"/>
    <col min="22" max="22" width="28.28515625" customWidth="1"/>
    <col min="23" max="23" width="18.140625" bestFit="1" customWidth="1"/>
    <col min="41" max="41" width="12" bestFit="1" customWidth="1"/>
  </cols>
  <sheetData>
    <row r="2" spans="1:53" ht="126" customHeight="1" x14ac:dyDescent="0.25">
      <c r="A2" s="102" t="s">
        <v>540</v>
      </c>
      <c r="B2" s="103" t="s">
        <v>541</v>
      </c>
      <c r="C2" s="103" t="s">
        <v>542</v>
      </c>
      <c r="F2" s="102" t="s">
        <v>543</v>
      </c>
      <c r="G2" s="103" t="s">
        <v>541</v>
      </c>
      <c r="H2" s="103" t="s">
        <v>542</v>
      </c>
      <c r="J2" s="102" t="s">
        <v>543</v>
      </c>
      <c r="K2" s="5" t="s">
        <v>544</v>
      </c>
      <c r="L2" s="5" t="s">
        <v>545</v>
      </c>
      <c r="M2" s="5" t="s">
        <v>546</v>
      </c>
      <c r="N2" s="5" t="s">
        <v>547</v>
      </c>
      <c r="O2" s="5" t="s">
        <v>40</v>
      </c>
      <c r="P2" s="5" t="s">
        <v>548</v>
      </c>
      <c r="Q2" s="5" t="s">
        <v>549</v>
      </c>
      <c r="R2" s="5" t="s">
        <v>550</v>
      </c>
      <c r="S2" s="5" t="s">
        <v>551</v>
      </c>
      <c r="T2" s="5" t="s">
        <v>552</v>
      </c>
      <c r="U2" s="5" t="s">
        <v>553</v>
      </c>
      <c r="V2" s="5" t="s">
        <v>554</v>
      </c>
      <c r="W2" s="5" t="s">
        <v>555</v>
      </c>
      <c r="Z2" s="102" t="s">
        <v>543</v>
      </c>
      <c r="AA2" s="5" t="s">
        <v>544</v>
      </c>
      <c r="AB2" s="5" t="s">
        <v>545</v>
      </c>
      <c r="AC2" s="5" t="s">
        <v>546</v>
      </c>
      <c r="AD2" s="5" t="s">
        <v>547</v>
      </c>
      <c r="AE2" s="5" t="s">
        <v>40</v>
      </c>
      <c r="AF2" s="5" t="s">
        <v>548</v>
      </c>
      <c r="AG2" s="5" t="s">
        <v>549</v>
      </c>
      <c r="AH2" s="5" t="s">
        <v>550</v>
      </c>
      <c r="AI2" s="5" t="s">
        <v>551</v>
      </c>
      <c r="AJ2" s="5" t="s">
        <v>552</v>
      </c>
      <c r="AK2" s="5" t="s">
        <v>553</v>
      </c>
      <c r="AL2" s="5" t="s">
        <v>554</v>
      </c>
      <c r="AM2" s="5" t="s">
        <v>555</v>
      </c>
      <c r="AO2" s="5" t="s">
        <v>544</v>
      </c>
      <c r="AP2" s="5" t="s">
        <v>545</v>
      </c>
      <c r="AQ2" s="5" t="s">
        <v>546</v>
      </c>
      <c r="AR2" s="5" t="s">
        <v>547</v>
      </c>
      <c r="AS2" s="5" t="s">
        <v>40</v>
      </c>
      <c r="AT2" s="5" t="s">
        <v>548</v>
      </c>
      <c r="AU2" s="5" t="s">
        <v>549</v>
      </c>
      <c r="AV2" s="5" t="s">
        <v>550</v>
      </c>
      <c r="AW2" s="5" t="s">
        <v>551</v>
      </c>
      <c r="AX2" s="5" t="s">
        <v>552</v>
      </c>
      <c r="AY2" s="5" t="s">
        <v>553</v>
      </c>
      <c r="AZ2" s="5" t="s">
        <v>554</v>
      </c>
      <c r="BA2" s="5" t="s">
        <v>555</v>
      </c>
    </row>
    <row r="3" spans="1:53" ht="105" x14ac:dyDescent="0.25">
      <c r="A3" s="104" t="s">
        <v>556</v>
      </c>
      <c r="B3" s="4">
        <v>53</v>
      </c>
      <c r="C3" s="105">
        <f>B3/$B$5</f>
        <v>0.92982456140350878</v>
      </c>
      <c r="F3" s="120" t="s">
        <v>557</v>
      </c>
      <c r="G3" s="4">
        <f>+COUNTIF('Database kontormøbler - 2021'!CF3:CF55,"Ja")</f>
        <v>31</v>
      </c>
      <c r="H3" s="105">
        <f>G3/$B$5</f>
        <v>0.54385964912280704</v>
      </c>
      <c r="J3" s="120" t="s">
        <v>558</v>
      </c>
      <c r="K3" s="3">
        <f>+COUNTIF(Tabell2[Bærekraftig trevirke/skogbruk - tømmerforordningen, FSC eller PEFC ],2)</f>
        <v>4</v>
      </c>
      <c r="L3" s="3">
        <f>+COUNTIF(Tabell2[Krav til kvalitet / EN standarder/henvisning til Norsk møbelfakta],2)</f>
        <v>12</v>
      </c>
      <c r="M3" s="3">
        <f>+COUNTIF(Tabell2[Robuste møbeltekstiler/ kvalitet på møbeltrekk],2)</f>
        <v>17</v>
      </c>
      <c r="N3" s="3">
        <f>+COUNTIF(Tabell2[Design for lang levetid (Demontering, Reservedeler, produktinformasjon om montering og vedlikehold)],2)</f>
        <v>12</v>
      </c>
      <c r="O3" s="3">
        <f>+COUNTIF(Tabell2[Merking av plast],2)</f>
        <v>2</v>
      </c>
      <c r="P3" s="3">
        <f>+COUNTIF(Tabell2[Avhending, videresalg, materialgjenvinnes/resirkuleres, (at de ber om en tjeneste om at leverandøren skal ta inn oppdragsgivers brukte møbler og videreselge, eller materialgjenvinne/resirkulere). Dette stille kanskje oftest som kontraktvilkår. ],2)</f>
        <v>1</v>
      </c>
      <c r="Q3" s="3">
        <f>+COUNTIF(Tabell2[Vask og rengjøring av møbler],2)</f>
        <v>7</v>
      </c>
      <c r="R3" s="3">
        <f>+COUNTIF(Tabell2[Emballasjen skal være resirkulerbar/ gjenbrukbar (kravet om miljøvennelig emballasje)],2)</f>
        <v>11</v>
      </c>
      <c r="S3" s="3">
        <f>+COUNTIF(Tabell2[Emballasje (retur- grønt punkt, gjenvinning) (kravet om gjenvinnbar emballasje)],2)</f>
        <v>14</v>
      </c>
      <c r="T3" s="3">
        <f>+COUNTIF(Tabell2[Kjemikalietabellen (unngå skadelige kjemikaler)],2)</f>
        <v>13</v>
      </c>
      <c r="U3" s="3">
        <f>+COUNTIF(Tabell2[Flammehemmere],2)</f>
        <v>15</v>
      </c>
      <c r="V3" s="3">
        <f>+COUNTIF(Tabell2[PVC],2)</f>
        <v>13</v>
      </c>
      <c r="W3" s="3">
        <f>+COUNTIF(Tabell2[Sosiale hensyn og menneske-rettigheter er inkludert],2)</f>
        <v>6</v>
      </c>
      <c r="Z3" s="120" t="s">
        <v>558</v>
      </c>
      <c r="AA3" s="3">
        <f>+COUNTIF(Tabell2[Bærekraftig trevirke/skogbruk - tømmerforordningen, FSC eller PEFC ],1)</f>
        <v>30</v>
      </c>
      <c r="AB3" s="3">
        <f>+COUNTIF(Tabell2[Krav til kvalitet / EN standarder/henvisning til Norsk møbelfakta],1)</f>
        <v>21</v>
      </c>
      <c r="AC3" s="3">
        <f>+COUNTIF(Tabell2[Robuste møbeltekstiler/ kvalitet på møbeltrekk],1)</f>
        <v>26</v>
      </c>
      <c r="AD3" s="3">
        <f>+COUNTIF(Tabell2[Design for lang levetid (Demontering, Reservedeler, produktinformasjon om montering og vedlikehold)],1)</f>
        <v>26</v>
      </c>
      <c r="AE3" s="3">
        <f>+COUNTIF(Tabell2[Merking av plast],1)</f>
        <v>8</v>
      </c>
      <c r="AF3" s="3">
        <f>+COUNTIF(Tabell2[Avhending, videresalg, materialgjenvinnes/resirkuleres, (at de ber om en tjeneste om at leverandøren skal ta inn oppdragsgivers brukte møbler og videreselge, eller materialgjenvinne/resirkulere). Dette stille kanskje oftest som kontraktvilkår. ],1)</f>
        <v>2</v>
      </c>
      <c r="AG3" s="3">
        <f>+COUNTIF(Tabell2[Vask og rengjøring av møbler],1)</f>
        <v>20</v>
      </c>
      <c r="AH3" s="3">
        <f>+COUNTIF(Tabell2[Emballasjen skal være resirkulerbar/ gjenbrukbar (kravet om miljøvennelig emballasje)],1)</f>
        <v>8</v>
      </c>
      <c r="AI3" s="3">
        <f>+COUNTIF(Tabell2[Emballasje (retur- grønt punkt, gjenvinning) (kravet om gjenvinnbar emballasje)],1)</f>
        <v>30</v>
      </c>
      <c r="AJ3" s="3">
        <f>+COUNTIF(Tabell2[Kjemikalietabellen (unngå skadelige kjemikaler)],1)</f>
        <v>2</v>
      </c>
      <c r="AK3" s="3">
        <f>+COUNTIF(Tabell2[Flammehemmere],1)</f>
        <v>17</v>
      </c>
      <c r="AL3" s="3">
        <f>+COUNTIF(Tabell2[PVC],1)</f>
        <v>6</v>
      </c>
      <c r="AM3" s="3">
        <f>+COUNTIF(Tabell2[Sosiale hensyn og menneske-rettigheter er inkludert],1)</f>
        <v>33</v>
      </c>
      <c r="AO3" s="97">
        <f>+'Database kontormøbler - 2021'!AJ57</f>
        <v>0.64150943396226412</v>
      </c>
      <c r="AP3" s="97">
        <f>+'Database kontormøbler - 2021'!AK57</f>
        <v>0.62264150943396224</v>
      </c>
      <c r="AQ3" s="97">
        <f>+'Database kontormøbler - 2021'!AL57</f>
        <v>0.81132075471698117</v>
      </c>
      <c r="AR3" s="97">
        <f>+'Database kontormøbler - 2021'!AO57</f>
        <v>0.71698113207547165</v>
      </c>
      <c r="AS3" s="97">
        <f>+'Database kontormøbler - 2021'!AP57</f>
        <v>0.18867924528301888</v>
      </c>
      <c r="AT3" s="97">
        <f>+'Database kontormøbler - 2021'!AS57</f>
        <v>5.6603773584905662E-2</v>
      </c>
      <c r="AU3" s="97">
        <f>+'Database kontormøbler - 2021'!AW57</f>
        <v>0.50943396226415094</v>
      </c>
      <c r="AV3" s="97">
        <f>+'Database kontormøbler - 2021'!BA57</f>
        <v>0.35849056603773582</v>
      </c>
      <c r="AW3" s="97">
        <f>+'Database kontormøbler - 2021'!BB57</f>
        <v>0.83018867924528306</v>
      </c>
      <c r="AX3" s="97">
        <f>+'Database kontormøbler - 2021'!BC57</f>
        <v>0.28301886792452829</v>
      </c>
      <c r="AY3" s="97">
        <f>+'Database kontormøbler - 2021'!BJ57</f>
        <v>0.60377358490566035</v>
      </c>
      <c r="AZ3" s="97">
        <f>+'Database kontormøbler - 2021'!BK57+0.000001</f>
        <v>0.3584915660377358</v>
      </c>
      <c r="BA3" s="97">
        <f>+'Database kontormøbler - 2021'!BR57</f>
        <v>0.73584905660377353</v>
      </c>
    </row>
    <row r="4" spans="1:53" ht="30" x14ac:dyDescent="0.25">
      <c r="A4" s="104" t="s">
        <v>559</v>
      </c>
      <c r="B4" s="4">
        <f>57-B3</f>
        <v>4</v>
      </c>
      <c r="C4" s="105">
        <f>B4/$B$5</f>
        <v>7.0175438596491224E-2</v>
      </c>
      <c r="F4" s="120" t="s">
        <v>560</v>
      </c>
      <c r="G4" s="4">
        <f>53-G3</f>
        <v>22</v>
      </c>
      <c r="H4" s="105">
        <f>+G4/B5</f>
        <v>0.38596491228070173</v>
      </c>
      <c r="J4" s="130" t="s">
        <v>561</v>
      </c>
      <c r="K4" s="3">
        <f>53-K3</f>
        <v>49</v>
      </c>
      <c r="L4" s="3">
        <f>53-L3</f>
        <v>41</v>
      </c>
      <c r="M4" s="3">
        <f>53-M3</f>
        <v>36</v>
      </c>
      <c r="N4" s="3">
        <f t="shared" ref="N4:W4" si="0">53-N3</f>
        <v>41</v>
      </c>
      <c r="O4" s="3">
        <f t="shared" si="0"/>
        <v>51</v>
      </c>
      <c r="P4" s="3">
        <f t="shared" si="0"/>
        <v>52</v>
      </c>
      <c r="Q4" s="3">
        <f t="shared" si="0"/>
        <v>46</v>
      </c>
      <c r="R4" s="3">
        <f t="shared" si="0"/>
        <v>42</v>
      </c>
      <c r="S4" s="3">
        <f t="shared" si="0"/>
        <v>39</v>
      </c>
      <c r="T4" s="3">
        <f t="shared" si="0"/>
        <v>40</v>
      </c>
      <c r="U4" s="3">
        <f t="shared" si="0"/>
        <v>38</v>
      </c>
      <c r="V4" s="3">
        <f t="shared" si="0"/>
        <v>40</v>
      </c>
      <c r="W4" s="3">
        <f t="shared" si="0"/>
        <v>47</v>
      </c>
      <c r="Z4" s="130" t="s">
        <v>561</v>
      </c>
      <c r="AA4" s="3">
        <f>53-AA3</f>
        <v>23</v>
      </c>
      <c r="AB4" s="3">
        <f>53-AB3</f>
        <v>32</v>
      </c>
      <c r="AC4" s="3">
        <f>53-AC3</f>
        <v>27</v>
      </c>
      <c r="AD4" s="3">
        <f t="shared" ref="AD4:AM4" si="1">53-AD3</f>
        <v>27</v>
      </c>
      <c r="AE4" s="3">
        <f t="shared" si="1"/>
        <v>45</v>
      </c>
      <c r="AF4" s="3">
        <f t="shared" si="1"/>
        <v>51</v>
      </c>
      <c r="AG4" s="3">
        <f t="shared" si="1"/>
        <v>33</v>
      </c>
      <c r="AH4" s="3">
        <f t="shared" si="1"/>
        <v>45</v>
      </c>
      <c r="AI4" s="3">
        <f t="shared" si="1"/>
        <v>23</v>
      </c>
      <c r="AJ4" s="3">
        <f t="shared" si="1"/>
        <v>51</v>
      </c>
      <c r="AK4" s="3">
        <f t="shared" si="1"/>
        <v>36</v>
      </c>
      <c r="AL4" s="3">
        <f t="shared" si="1"/>
        <v>47</v>
      </c>
      <c r="AM4" s="3">
        <f t="shared" si="1"/>
        <v>20</v>
      </c>
    </row>
    <row r="5" spans="1:53" ht="150" x14ac:dyDescent="0.25">
      <c r="A5" s="3" t="s">
        <v>562</v>
      </c>
      <c r="B5" s="4">
        <f>SUM(B3:B4)</f>
        <v>57</v>
      </c>
      <c r="C5" s="4"/>
      <c r="J5" s="3" t="s">
        <v>563</v>
      </c>
      <c r="K5" s="111">
        <f>+K3/(K4+K4)</f>
        <v>4.0816326530612242E-2</v>
      </c>
      <c r="L5" s="111">
        <f>+L3/(L4+L4)+0.000001</f>
        <v>0.14634246341463414</v>
      </c>
      <c r="M5" s="111">
        <f t="shared" ref="M5:W5" si="2">+M3/(M4+M4)</f>
        <v>0.2361111111111111</v>
      </c>
      <c r="N5" s="111">
        <f t="shared" si="2"/>
        <v>0.14634146341463414</v>
      </c>
      <c r="O5" s="111">
        <f t="shared" si="2"/>
        <v>1.9607843137254902E-2</v>
      </c>
      <c r="P5" s="111">
        <f t="shared" si="2"/>
        <v>9.6153846153846159E-3</v>
      </c>
      <c r="Q5" s="111">
        <f t="shared" si="2"/>
        <v>7.6086956521739135E-2</v>
      </c>
      <c r="R5" s="111">
        <f t="shared" si="2"/>
        <v>0.13095238095238096</v>
      </c>
      <c r="S5" s="111">
        <f t="shared" si="2"/>
        <v>0.17948717948717949</v>
      </c>
      <c r="T5" s="111">
        <f t="shared" si="2"/>
        <v>0.16250000000000001</v>
      </c>
      <c r="U5" s="111">
        <f t="shared" si="2"/>
        <v>0.19736842105263158</v>
      </c>
      <c r="V5" s="111">
        <f>+V3/(V4+V4)+0.00000001</f>
        <v>0.16250001</v>
      </c>
      <c r="W5" s="111">
        <f t="shared" si="2"/>
        <v>6.3829787234042548E-2</v>
      </c>
      <c r="Z5" s="3" t="s">
        <v>563</v>
      </c>
      <c r="AA5" s="111">
        <f>+AA3/(AA4+AA4)</f>
        <v>0.65217391304347827</v>
      </c>
      <c r="AB5" s="111">
        <f>+AB3/(AB4+AB4)+0.000001</f>
        <v>0.32812599999999997</v>
      </c>
      <c r="AC5" s="111">
        <f t="shared" ref="AC5" si="3">+AC3/(AC4+AC4)</f>
        <v>0.48148148148148145</v>
      </c>
      <c r="AD5" s="111">
        <f t="shared" ref="AD5" si="4">+AD3/(AD4+AD4)</f>
        <v>0.48148148148148145</v>
      </c>
      <c r="AE5" s="111">
        <f t="shared" ref="AE5" si="5">+AE3/(AE4+AE4)</f>
        <v>8.8888888888888892E-2</v>
      </c>
      <c r="AF5" s="111">
        <f t="shared" ref="AF5" si="6">+AF3/(AF4+AF4)</f>
        <v>1.9607843137254902E-2</v>
      </c>
      <c r="AG5" s="111">
        <f t="shared" ref="AG5" si="7">+AG3/(AG4+AG4)</f>
        <v>0.30303030303030304</v>
      </c>
      <c r="AH5" s="111">
        <f t="shared" ref="AH5" si="8">+AH3/(AH4+AH4)</f>
        <v>8.8888888888888892E-2</v>
      </c>
      <c r="AI5" s="111">
        <f t="shared" ref="AI5" si="9">+AI3/(AI4+AI4)</f>
        <v>0.65217391304347827</v>
      </c>
      <c r="AJ5" s="111">
        <f t="shared" ref="AJ5" si="10">+AJ3/(AJ4+AJ4)</f>
        <v>1.9607843137254902E-2</v>
      </c>
      <c r="AK5" s="111">
        <f t="shared" ref="AK5" si="11">+AK3/(AK4+AK4)</f>
        <v>0.2361111111111111</v>
      </c>
      <c r="AL5" s="111">
        <f>+AL3/(AL4+AL4)+0.00000001</f>
        <v>6.3829797234042543E-2</v>
      </c>
      <c r="AM5" s="111">
        <f t="shared" ref="AM5" si="12">+AM3/(AM4+AM4)</f>
        <v>0.82499999999999996</v>
      </c>
      <c r="AO5" s="34" t="str">
        <f>+_xlfn.XLOOKUP(AO6,$AO$3:$BA$3,$AO$2:$BA$2)</f>
        <v>Avhending, videresalg, materialgjenvinnes/ resirkuleres</v>
      </c>
      <c r="AP5" s="34" t="str">
        <f t="shared" ref="AP5:BA5" si="13">+_xlfn.XLOOKUP(AP6,$AO$3:$BA$3,$AO$2:$BA$2)</f>
        <v>Merking av plast</v>
      </c>
      <c r="AQ5" s="34" t="str">
        <f t="shared" si="13"/>
        <v xml:space="preserve">Unngå skadelige kjemikalier </v>
      </c>
      <c r="AR5" s="34" t="str">
        <f t="shared" si="13"/>
        <v>Miljøvennelig emballasje</v>
      </c>
      <c r="AS5" s="34" t="str">
        <f t="shared" si="13"/>
        <v>Unngå bruk av PVC</v>
      </c>
      <c r="AT5" s="34" t="str">
        <f t="shared" si="13"/>
        <v>Enkel rengjøring av møbler</v>
      </c>
      <c r="AU5" s="34" t="str">
        <f t="shared" si="13"/>
        <v>Brannsikkerhet og å unngå bruk av flammehemmere</v>
      </c>
      <c r="AV5" s="34" t="str">
        <f t="shared" si="13"/>
        <v>Møbler med høy kvalitet etter produktstandard</v>
      </c>
      <c r="AW5" s="34" t="str">
        <f t="shared" si="13"/>
        <v>Bærekraftig trevirke i møbler</v>
      </c>
      <c r="AX5" s="34" t="str">
        <f t="shared" si="13"/>
        <v>Produktinformasjon om demontering, reparasjon og tilgang på reservedeler</v>
      </c>
      <c r="AY5" s="34" t="str">
        <f t="shared" si="13"/>
        <v>Ivaretagelse av grunnleggende menneskerettigheter i leverandørkjeder</v>
      </c>
      <c r="AZ5" s="34" t="str">
        <f t="shared" si="13"/>
        <v>Robuste møbeltekstiler</v>
      </c>
      <c r="BA5" s="34" t="str">
        <f t="shared" si="13"/>
        <v>Gjenvinnbar emballasje</v>
      </c>
    </row>
    <row r="6" spans="1:53" x14ac:dyDescent="0.25">
      <c r="J6" s="3" t="s">
        <v>564</v>
      </c>
      <c r="K6" s="3">
        <f>+_xlfn.RANK.EQ(K5,$K$5:$W$5)</f>
        <v>11</v>
      </c>
      <c r="L6" s="3">
        <f t="shared" ref="L6:W6" si="14">+_xlfn.RANK.EQ(L5,$K$5:$W$5)</f>
        <v>6</v>
      </c>
      <c r="M6" s="3">
        <f t="shared" si="14"/>
        <v>1</v>
      </c>
      <c r="N6" s="3">
        <f t="shared" si="14"/>
        <v>7</v>
      </c>
      <c r="O6" s="3">
        <f t="shared" si="14"/>
        <v>12</v>
      </c>
      <c r="P6" s="3">
        <f t="shared" si="14"/>
        <v>13</v>
      </c>
      <c r="Q6" s="3">
        <f t="shared" si="14"/>
        <v>9</v>
      </c>
      <c r="R6" s="3">
        <f t="shared" si="14"/>
        <v>8</v>
      </c>
      <c r="S6" s="3">
        <f t="shared" si="14"/>
        <v>3</v>
      </c>
      <c r="T6" s="3">
        <f t="shared" si="14"/>
        <v>5</v>
      </c>
      <c r="U6" s="3">
        <f t="shared" si="14"/>
        <v>2</v>
      </c>
      <c r="V6" s="3">
        <f t="shared" si="14"/>
        <v>4</v>
      </c>
      <c r="W6" s="3">
        <f t="shared" si="14"/>
        <v>10</v>
      </c>
      <c r="Z6" s="3" t="s">
        <v>564</v>
      </c>
      <c r="AA6" s="3" t="e">
        <f>+_xlfn.RANK.EQ(AA5,$K$5:$W$5)</f>
        <v>#N/A</v>
      </c>
      <c r="AB6" s="3" t="e">
        <f t="shared" ref="AB6:AM6" si="15">+_xlfn.RANK.EQ(AB5,$K$5:$W$5)</f>
        <v>#N/A</v>
      </c>
      <c r="AC6" s="3" t="e">
        <f t="shared" si="15"/>
        <v>#N/A</v>
      </c>
      <c r="AD6" s="3" t="e">
        <f t="shared" si="15"/>
        <v>#N/A</v>
      </c>
      <c r="AE6" s="3" t="e">
        <f t="shared" si="15"/>
        <v>#N/A</v>
      </c>
      <c r="AF6" s="3">
        <f t="shared" si="15"/>
        <v>12</v>
      </c>
      <c r="AG6" s="3" t="e">
        <f t="shared" si="15"/>
        <v>#N/A</v>
      </c>
      <c r="AH6" s="3" t="e">
        <f t="shared" si="15"/>
        <v>#N/A</v>
      </c>
      <c r="AI6" s="3" t="e">
        <f t="shared" si="15"/>
        <v>#N/A</v>
      </c>
      <c r="AJ6" s="3">
        <f t="shared" si="15"/>
        <v>12</v>
      </c>
      <c r="AK6" s="3">
        <f t="shared" si="15"/>
        <v>1</v>
      </c>
      <c r="AL6" s="3" t="e">
        <f t="shared" si="15"/>
        <v>#N/A</v>
      </c>
      <c r="AM6" s="3" t="e">
        <f t="shared" si="15"/>
        <v>#N/A</v>
      </c>
      <c r="AO6" s="97">
        <f>+AT3</f>
        <v>5.6603773584905662E-2</v>
      </c>
      <c r="AP6" s="97">
        <f>+AS3</f>
        <v>0.18867924528301888</v>
      </c>
      <c r="AQ6" s="97">
        <f>+AX3</f>
        <v>0.28301886792452829</v>
      </c>
      <c r="AR6" s="97">
        <f>+AV3</f>
        <v>0.35849056603773582</v>
      </c>
      <c r="AS6" s="97">
        <f>+AZ3</f>
        <v>0.3584915660377358</v>
      </c>
      <c r="AT6" s="97">
        <f>+AU3</f>
        <v>0.50943396226415094</v>
      </c>
      <c r="AU6" s="97">
        <f>+AY3</f>
        <v>0.60377358490566035</v>
      </c>
      <c r="AV6" s="97">
        <f>+AP3</f>
        <v>0.62264150943396224</v>
      </c>
      <c r="AW6" s="97">
        <f>+AO3</f>
        <v>0.64150943396226412</v>
      </c>
      <c r="AX6" s="97">
        <f>+AR3</f>
        <v>0.71698113207547165</v>
      </c>
      <c r="AY6" s="97">
        <f>+BA3</f>
        <v>0.73584905660377353</v>
      </c>
      <c r="AZ6" s="97">
        <f>+AQ3</f>
        <v>0.81132075471698117</v>
      </c>
      <c r="BA6" s="97">
        <f>+AW3</f>
        <v>0.83018867924528306</v>
      </c>
    </row>
    <row r="8" spans="1:53" x14ac:dyDescent="0.25">
      <c r="J8" s="3" t="s">
        <v>564</v>
      </c>
      <c r="K8" s="3">
        <v>1</v>
      </c>
      <c r="L8" s="3">
        <v>2</v>
      </c>
      <c r="M8" s="3">
        <v>3</v>
      </c>
      <c r="N8" s="3">
        <v>4</v>
      </c>
      <c r="O8" s="3">
        <v>5</v>
      </c>
      <c r="P8" s="3">
        <v>6</v>
      </c>
      <c r="Q8" s="3">
        <v>7</v>
      </c>
      <c r="R8" s="3">
        <v>8</v>
      </c>
      <c r="S8" s="3">
        <v>9</v>
      </c>
      <c r="T8" s="3">
        <v>10</v>
      </c>
      <c r="U8" s="3">
        <v>11</v>
      </c>
      <c r="V8" s="3">
        <v>12</v>
      </c>
      <c r="W8" s="3">
        <v>13</v>
      </c>
      <c r="Z8" s="3" t="s">
        <v>564</v>
      </c>
      <c r="AA8" s="3">
        <v>1</v>
      </c>
      <c r="AB8" s="3">
        <v>2</v>
      </c>
      <c r="AC8" s="3">
        <v>3</v>
      </c>
      <c r="AD8" s="3">
        <v>4</v>
      </c>
      <c r="AE8" s="3">
        <v>5</v>
      </c>
      <c r="AF8" s="3">
        <v>6</v>
      </c>
      <c r="AG8" s="3">
        <v>7</v>
      </c>
      <c r="AH8" s="3">
        <v>8</v>
      </c>
      <c r="AI8" s="3">
        <v>9</v>
      </c>
      <c r="AJ8" s="3">
        <v>10</v>
      </c>
      <c r="AK8" s="3">
        <v>11</v>
      </c>
      <c r="AL8" s="3">
        <v>12</v>
      </c>
      <c r="AM8" s="3">
        <v>13</v>
      </c>
    </row>
    <row r="9" spans="1:53" ht="150" x14ac:dyDescent="0.25">
      <c r="J9" s="3" t="s">
        <v>565</v>
      </c>
      <c r="K9" s="5" t="str">
        <f>+_xlfn.XLOOKUP(K8,$K$6:$W$6,$K$2:$W$2)</f>
        <v>Robuste møbeltekstiler</v>
      </c>
      <c r="L9" s="5" t="str">
        <f t="shared" ref="L9:W9" si="16">+_xlfn.XLOOKUP(L8,$K$6:$W$6,$K$2:$W$2)</f>
        <v>Brannsikkerhet og å unngå bruk av flammehemmere</v>
      </c>
      <c r="M9" s="5" t="str">
        <f t="shared" si="16"/>
        <v>Gjenvinnbar emballasje</v>
      </c>
      <c r="N9" s="5" t="str">
        <f t="shared" si="16"/>
        <v>Unngå bruk av PVC</v>
      </c>
      <c r="O9" s="5" t="str">
        <f t="shared" si="16"/>
        <v xml:space="preserve">Unngå skadelige kjemikalier </v>
      </c>
      <c r="P9" s="5" t="str">
        <f t="shared" si="16"/>
        <v>Møbler med høy kvalitet etter produktstandard</v>
      </c>
      <c r="Q9" s="5" t="str">
        <f t="shared" si="16"/>
        <v>Produktinformasjon om demontering, reparasjon og tilgang på reservedeler</v>
      </c>
      <c r="R9" s="5" t="str">
        <f t="shared" si="16"/>
        <v>Miljøvennelig emballasje</v>
      </c>
      <c r="S9" s="5" t="str">
        <f t="shared" si="16"/>
        <v>Enkel rengjøring av møbler</v>
      </c>
      <c r="T9" s="5" t="str">
        <f t="shared" si="16"/>
        <v>Ivaretagelse av grunnleggende menneskerettigheter i leverandørkjeder</v>
      </c>
      <c r="U9" s="5" t="str">
        <f t="shared" si="16"/>
        <v>Bærekraftig trevirke i møbler</v>
      </c>
      <c r="V9" s="5" t="str">
        <f t="shared" si="16"/>
        <v>Merking av plast</v>
      </c>
      <c r="W9" s="5" t="str">
        <f t="shared" si="16"/>
        <v>Avhending, videresalg, materialgjenvinnes/ resirkuleres</v>
      </c>
      <c r="Z9" s="3" t="s">
        <v>565</v>
      </c>
      <c r="AA9" s="5" t="str">
        <f>+_xlfn.XLOOKUP(AA8,$K$6:$W$6,$K$2:$W$2)</f>
        <v>Robuste møbeltekstiler</v>
      </c>
      <c r="AB9" s="5" t="str">
        <f t="shared" ref="AB9:AM9" si="17">+_xlfn.XLOOKUP(AB8,$K$6:$W$6,$K$2:$W$2)</f>
        <v>Brannsikkerhet og å unngå bruk av flammehemmere</v>
      </c>
      <c r="AC9" s="5" t="str">
        <f t="shared" si="17"/>
        <v>Gjenvinnbar emballasje</v>
      </c>
      <c r="AD9" s="5" t="str">
        <f t="shared" si="17"/>
        <v>Unngå bruk av PVC</v>
      </c>
      <c r="AE9" s="5" t="str">
        <f t="shared" si="17"/>
        <v xml:space="preserve">Unngå skadelige kjemikalier </v>
      </c>
      <c r="AF9" s="5" t="str">
        <f t="shared" si="17"/>
        <v>Møbler med høy kvalitet etter produktstandard</v>
      </c>
      <c r="AG9" s="5" t="str">
        <f t="shared" si="17"/>
        <v>Produktinformasjon om demontering, reparasjon og tilgang på reservedeler</v>
      </c>
      <c r="AH9" s="5" t="str">
        <f t="shared" si="17"/>
        <v>Miljøvennelig emballasje</v>
      </c>
      <c r="AI9" s="5" t="str">
        <f t="shared" si="17"/>
        <v>Enkel rengjøring av møbler</v>
      </c>
      <c r="AJ9" s="5" t="str">
        <f t="shared" si="17"/>
        <v>Ivaretagelse av grunnleggende menneskerettigheter i leverandørkjeder</v>
      </c>
      <c r="AK9" s="5" t="str">
        <f t="shared" si="17"/>
        <v>Bærekraftig trevirke i møbler</v>
      </c>
      <c r="AL9" s="5" t="str">
        <f t="shared" si="17"/>
        <v>Merking av plast</v>
      </c>
      <c r="AM9" s="5" t="str">
        <f t="shared" si="17"/>
        <v>Avhending, videresalg, materialgjenvinnes/ resirkuleres</v>
      </c>
    </row>
    <row r="10" spans="1:53" x14ac:dyDescent="0.25">
      <c r="J10" s="3" t="s">
        <v>563</v>
      </c>
      <c r="K10" s="111">
        <f t="shared" ref="K10:W10" si="18">+_xlfn.XLOOKUP(K8,$K$6:$W$6,$K$5:$W$5)</f>
        <v>0.2361111111111111</v>
      </c>
      <c r="L10" s="111">
        <f t="shared" si="18"/>
        <v>0.19736842105263158</v>
      </c>
      <c r="M10" s="111">
        <f t="shared" si="18"/>
        <v>0.17948717948717949</v>
      </c>
      <c r="N10" s="111">
        <f t="shared" si="18"/>
        <v>0.16250001</v>
      </c>
      <c r="O10" s="111">
        <f t="shared" si="18"/>
        <v>0.16250000000000001</v>
      </c>
      <c r="P10" s="111">
        <f t="shared" si="18"/>
        <v>0.14634246341463414</v>
      </c>
      <c r="Q10" s="111">
        <f t="shared" si="18"/>
        <v>0.14634146341463414</v>
      </c>
      <c r="R10" s="111">
        <f>+_xlfn.XLOOKUP(R8,$K$6:$W$6,$K$5:$W$5)</f>
        <v>0.13095238095238096</v>
      </c>
      <c r="S10" s="111">
        <f t="shared" si="18"/>
        <v>7.6086956521739135E-2</v>
      </c>
      <c r="T10" s="111">
        <f t="shared" si="18"/>
        <v>6.3829787234042548E-2</v>
      </c>
      <c r="U10" s="111">
        <f t="shared" si="18"/>
        <v>4.0816326530612242E-2</v>
      </c>
      <c r="V10" s="111">
        <f t="shared" si="18"/>
        <v>1.9607843137254902E-2</v>
      </c>
      <c r="W10" s="111">
        <f t="shared" si="18"/>
        <v>9.6153846153846159E-3</v>
      </c>
      <c r="Z10" s="3" t="s">
        <v>563</v>
      </c>
      <c r="AA10" s="111">
        <f t="shared" ref="AA10:AG10" si="19">+_xlfn.XLOOKUP(AA8,$K$6:$W$6,$K$5:$W$5)</f>
        <v>0.2361111111111111</v>
      </c>
      <c r="AB10" s="111">
        <f t="shared" si="19"/>
        <v>0.19736842105263158</v>
      </c>
      <c r="AC10" s="111">
        <f t="shared" si="19"/>
        <v>0.17948717948717949</v>
      </c>
      <c r="AD10" s="111">
        <f t="shared" si="19"/>
        <v>0.16250001</v>
      </c>
      <c r="AE10" s="111">
        <f t="shared" si="19"/>
        <v>0.16250000000000001</v>
      </c>
      <c r="AF10" s="111">
        <f t="shared" si="19"/>
        <v>0.14634246341463414</v>
      </c>
      <c r="AG10" s="111">
        <f t="shared" si="19"/>
        <v>0.14634146341463414</v>
      </c>
      <c r="AH10" s="111">
        <f>+_xlfn.XLOOKUP(AH8,$K$6:$W$6,$K$5:$W$5)</f>
        <v>0.13095238095238096</v>
      </c>
      <c r="AI10" s="111">
        <f t="shared" ref="AI10:AM10" si="20">+_xlfn.XLOOKUP(AI8,$K$6:$W$6,$K$5:$W$5)</f>
        <v>7.6086956521739135E-2</v>
      </c>
      <c r="AJ10" s="111">
        <f t="shared" si="20"/>
        <v>6.3829787234042548E-2</v>
      </c>
      <c r="AK10" s="111">
        <f t="shared" si="20"/>
        <v>4.0816326530612242E-2</v>
      </c>
      <c r="AL10" s="111">
        <f t="shared" si="20"/>
        <v>1.9607843137254902E-2</v>
      </c>
      <c r="AM10" s="111">
        <f t="shared" si="20"/>
        <v>9.6153846153846159E-3</v>
      </c>
      <c r="AO10" s="139"/>
    </row>
    <row r="16" spans="1:53" ht="48" customHeight="1" x14ac:dyDescent="0.25">
      <c r="A16" s="102" t="s">
        <v>566</v>
      </c>
      <c r="B16" s="106"/>
      <c r="C16" s="3"/>
      <c r="D16" s="3"/>
      <c r="F16" s="143" t="s">
        <v>567</v>
      </c>
      <c r="G16" s="143"/>
      <c r="H16" s="22"/>
      <c r="I16" s="143" t="s">
        <v>568</v>
      </c>
      <c r="J16" s="143"/>
      <c r="L16" s="144" t="s">
        <v>569</v>
      </c>
      <c r="M16" s="144"/>
      <c r="N16" s="144"/>
      <c r="O16" s="2"/>
      <c r="R16" s="143" t="s">
        <v>570</v>
      </c>
      <c r="S16" s="143"/>
      <c r="U16" s="62" t="s">
        <v>571</v>
      </c>
      <c r="V16" s="63">
        <f>SUM(Tabell2[Estimert verdi])</f>
        <v>961959000</v>
      </c>
    </row>
    <row r="17" spans="1:23" ht="41.45" customHeight="1" x14ac:dyDescent="0.25">
      <c r="A17" s="3"/>
      <c r="B17" s="3" t="s">
        <v>572</v>
      </c>
      <c r="C17" s="3" t="s">
        <v>573</v>
      </c>
      <c r="D17" s="3" t="s">
        <v>562</v>
      </c>
      <c r="F17" s="3" t="s">
        <v>7</v>
      </c>
      <c r="G17" s="3" t="s">
        <v>563</v>
      </c>
      <c r="I17" s="5" t="s">
        <v>574</v>
      </c>
      <c r="J17" s="5" t="s">
        <v>575</v>
      </c>
      <c r="L17" s="3" t="s">
        <v>572</v>
      </c>
      <c r="M17" s="3" t="s">
        <v>573</v>
      </c>
      <c r="N17" s="3" t="s">
        <v>562</v>
      </c>
      <c r="P17" s="5" t="s">
        <v>576</v>
      </c>
      <c r="Q17" s="34"/>
      <c r="R17" s="5" t="s">
        <v>577</v>
      </c>
      <c r="S17" s="5" t="s">
        <v>575</v>
      </c>
      <c r="V17" s="64"/>
      <c r="W17" s="64"/>
    </row>
    <row r="18" spans="1:23" x14ac:dyDescent="0.25">
      <c r="A18" s="3" t="s">
        <v>80</v>
      </c>
      <c r="B18" s="107">
        <f>COUNTIFS('Database kontormøbler - 2021'!$H$3:$H$55,'Utregning av grafer'!$A18,'Database kontormøbler - 2021'!$V$3:$V$55,1)+COUNTIFS('Database kontormøbler - 2021'!$H$3:$H$55,"Universitet/Høyskole",'Database kontormøbler - 2021'!$V$3:$V$55,1)</f>
        <v>10</v>
      </c>
      <c r="C18" s="107">
        <f>COUNTIFS('Database kontormøbler - 2021'!$H$3:$H$55,'Utregning av grafer'!$A18,'Database kontormøbler - 2021'!$V$3:$V$55,0)+COUNTIFS('Database kontormøbler - 2021'!$H$3:$H$55,"Universitet/Høyskole",'Database kontormøbler - 2021'!$V$3:$V$55,0)</f>
        <v>16</v>
      </c>
      <c r="D18" s="107">
        <f>SUM(B18:C18)</f>
        <v>26</v>
      </c>
      <c r="F18" s="3" t="s">
        <v>80</v>
      </c>
      <c r="G18" s="105">
        <f>B18/D18</f>
        <v>0.38461538461538464</v>
      </c>
      <c r="H18" s="59"/>
      <c r="I18" s="105">
        <f>B21/D21</f>
        <v>0.41509433962264153</v>
      </c>
      <c r="J18" s="105">
        <f>1-I18</f>
        <v>0.58490566037735847</v>
      </c>
      <c r="L18" s="108">
        <f>SUMIFS('Database kontormøbler - 2021'!$N$3:$N$55,'Database kontormøbler - 2021'!$H$3:$H$55,'Utregning av grafer'!$A18,'Database kontormøbler - 2021'!$V$3:$V$55,1)+SUMIFS('Database kontormøbler - 2021'!$N$3:$N$55,'Database kontormøbler - 2021'!$H$3:$H$55,"Universitet/Høyskole",'Database kontormøbler - 2021'!$V$3:$V$55,1)</f>
        <v>389549000</v>
      </c>
      <c r="M18" s="108">
        <f>SUMIFS('Database kontormøbler - 2021'!$N$3:$N$55,'Database kontormøbler - 2021'!$H$3:$H$55,'Utregning av grafer'!$A18,'Database kontormøbler - 2021'!$V$3:$V$55,0)+SUMIFS('Database kontormøbler - 2021'!$N$3:$N$55,'Database kontormøbler - 2021'!$H$3:$H$55,"Universitet/Høyskole",'Database kontormøbler - 2021'!$V$3:$V$55,0)</f>
        <v>316360000</v>
      </c>
      <c r="N18" s="108">
        <f>SUM(L18:M18)</f>
        <v>705909000</v>
      </c>
      <c r="O18" s="6"/>
      <c r="P18" s="109">
        <f>L18/N18</f>
        <v>0.5518402513638444</v>
      </c>
      <c r="Q18" s="93"/>
      <c r="R18" s="105">
        <f>SUM(L18:L20)/N21</f>
        <v>0.56431615068833496</v>
      </c>
      <c r="S18" s="105">
        <f>1-R18</f>
        <v>0.43568384931166504</v>
      </c>
    </row>
    <row r="19" spans="1:23" x14ac:dyDescent="0.25">
      <c r="A19" s="3" t="s">
        <v>99</v>
      </c>
      <c r="B19" s="107">
        <f>COUNTIFS('Database kontormøbler - 2021'!$H$3:$H$55,'Utregning av grafer'!$A19,'Database kontormøbler - 2021'!$V$3:$V$55,1)</f>
        <v>12</v>
      </c>
      <c r="C19" s="107">
        <f>COUNTIFS('Database kontormøbler - 2021'!$H$3:$H$55,'Utregning av grafer'!$A19,'Database kontormøbler - 2021'!$V$3:$V$55,0)</f>
        <v>12</v>
      </c>
      <c r="D19" s="107">
        <f>SUM(B19:C19)</f>
        <v>24</v>
      </c>
      <c r="F19" s="3" t="s">
        <v>99</v>
      </c>
      <c r="G19" s="105">
        <f t="shared" ref="G19:G20" si="21">B19/D19</f>
        <v>0.5</v>
      </c>
      <c r="H19" s="59"/>
      <c r="I19" s="59"/>
      <c r="J19" s="59"/>
      <c r="L19" s="108">
        <f>SUMIFS('Database kontormøbler - 2021'!$N$3:$N$55,'Database kontormøbler - 2021'!$H$3:$H$55,'Utregning av grafer'!$A19,'Database kontormøbler - 2021'!$V$3:$V$55,1)</f>
        <v>153300000</v>
      </c>
      <c r="M19" s="108">
        <f>SUMIFS('Database kontormøbler - 2021'!$N$3:$N$55,'Database kontormøbler - 2021'!$H$3:$H$55,'Utregning av grafer'!$A19,'Database kontormøbler - 2021'!$V$3:$V$55,0)</f>
        <v>60200000</v>
      </c>
      <c r="N19" s="108">
        <f>SUM(L19:M19)</f>
        <v>213500000</v>
      </c>
      <c r="O19" s="6"/>
      <c r="P19" s="109">
        <f t="shared" ref="P19:P20" si="22">L19/N19</f>
        <v>0.71803278688524586</v>
      </c>
      <c r="Q19" s="93"/>
      <c r="R19" s="59"/>
      <c r="S19" s="59"/>
    </row>
    <row r="20" spans="1:23" x14ac:dyDescent="0.25">
      <c r="A20" s="3" t="s">
        <v>130</v>
      </c>
      <c r="B20" s="107">
        <f>COUNTIFS('Database kontormøbler - 2021'!$H$3:$H$55,'Utregning av grafer'!$A20,'Database kontormøbler - 2021'!$V$3:$V$55,1)</f>
        <v>0</v>
      </c>
      <c r="C20" s="107">
        <f>COUNTIFS('Database kontormøbler - 2021'!$H$3:$H$55,'Utregning av grafer'!$A20,'Database kontormøbler - 2021'!$V$3:$V$55,0)</f>
        <v>3</v>
      </c>
      <c r="D20" s="107">
        <f t="shared" ref="D20" si="23">SUM(B20:C20)</f>
        <v>3</v>
      </c>
      <c r="F20" s="3" t="s">
        <v>130</v>
      </c>
      <c r="G20" s="105">
        <f t="shared" si="21"/>
        <v>0</v>
      </c>
      <c r="H20" s="59"/>
      <c r="I20" s="59"/>
      <c r="J20" s="59"/>
      <c r="L20" s="108">
        <f>SUMIFS('Database kontormøbler - 2021'!$N$3:$N$55,'Database kontormøbler - 2021'!$H$3:$H$55,'Utregning av grafer'!$A20,'Database kontormøbler - 2021'!$V$3:$V$55,1)</f>
        <v>0</v>
      </c>
      <c r="M20" s="108">
        <f>SUMIFS('Database kontormøbler - 2021'!$N$3:$N$55,'Database kontormøbler - 2021'!$H$3:$H$55,'Utregning av grafer'!$A20,'Database kontormøbler - 2021'!$V$3:$V$55,0)</f>
        <v>42550000</v>
      </c>
      <c r="N20" s="108">
        <f>SUM(L20:M20)</f>
        <v>42550000</v>
      </c>
      <c r="O20" s="6"/>
      <c r="P20" s="109">
        <f t="shared" si="22"/>
        <v>0</v>
      </c>
      <c r="Q20" s="93"/>
      <c r="R20" s="59"/>
      <c r="S20" s="59"/>
    </row>
    <row r="21" spans="1:23" x14ac:dyDescent="0.25">
      <c r="A21" s="3" t="s">
        <v>578</v>
      </c>
      <c r="B21" s="107">
        <f>SUM(B18:B20)</f>
        <v>22</v>
      </c>
      <c r="C21" s="107">
        <f>SUM(C18:C20)</f>
        <v>31</v>
      </c>
      <c r="D21" s="107">
        <f>SUM(D18:D20)</f>
        <v>53</v>
      </c>
      <c r="L21" s="108">
        <f>SUM(L18:L20)</f>
        <v>542849000</v>
      </c>
      <c r="M21" s="108">
        <f>SUM(M18:M20)</f>
        <v>419110000</v>
      </c>
      <c r="N21" s="108">
        <f>SUM(N18:N20)</f>
        <v>961959000</v>
      </c>
      <c r="O21" s="6"/>
      <c r="P21" s="6"/>
      <c r="Q21" s="6"/>
    </row>
    <row r="25" spans="1:23" ht="37.5" customHeight="1" x14ac:dyDescent="0.25">
      <c r="A25" s="102" t="s">
        <v>579</v>
      </c>
      <c r="B25" s="3" t="s">
        <v>572</v>
      </c>
      <c r="C25" s="3" t="s">
        <v>573</v>
      </c>
      <c r="D25" s="3" t="s">
        <v>562</v>
      </c>
      <c r="F25" s="143" t="s">
        <v>580</v>
      </c>
      <c r="G25" s="143"/>
      <c r="I25" s="143" t="s">
        <v>568</v>
      </c>
      <c r="J25" s="143"/>
      <c r="L25" s="3" t="s">
        <v>572</v>
      </c>
      <c r="M25" s="3" t="s">
        <v>573</v>
      </c>
      <c r="N25" s="3" t="s">
        <v>562</v>
      </c>
      <c r="P25" s="5" t="s">
        <v>581</v>
      </c>
      <c r="Q25" s="34"/>
      <c r="R25" s="143" t="s">
        <v>570</v>
      </c>
      <c r="S25" s="143"/>
    </row>
    <row r="26" spans="1:23" ht="45.75" customHeight="1" x14ac:dyDescent="0.25">
      <c r="A26" s="3" t="s">
        <v>80</v>
      </c>
      <c r="B26" s="107">
        <f>COUNTIFS('Database kontormøbler - 2021'!$H$3:$H$55,'Utregning av grafer'!$A26,'Database kontormøbler - 2021'!$W$3:$W$55,1)+COUNTIFS('Database kontormøbler - 2021'!$H$3:$H$55,"Universitet/Høyskole",'Database kontormøbler - 2021'!$W$3:$W$55,1)</f>
        <v>7</v>
      </c>
      <c r="C26" s="107">
        <f>COUNTIFS('Database kontormøbler - 2021'!$H$3:$H$55,'Utregning av grafer'!$A26,'Database kontormøbler - 2021'!$W$3:$W$55,0)+COUNTIFS('Database kontormøbler - 2021'!$H$3:$H$55,"Universitet/Høyskole",'Database kontormøbler - 2021'!$W$3:$W$55,0)</f>
        <v>19</v>
      </c>
      <c r="D26" s="107">
        <f>SUM(B26:C26)</f>
        <v>26</v>
      </c>
      <c r="F26" s="3" t="s">
        <v>7</v>
      </c>
      <c r="G26" s="3" t="s">
        <v>563</v>
      </c>
      <c r="I26" s="5" t="s">
        <v>582</v>
      </c>
      <c r="J26" s="5" t="s">
        <v>575</v>
      </c>
      <c r="L26" s="108">
        <f>SUMIFS('Database kontormøbler - 2021'!$N$3:$N$55,'Database kontormøbler - 2021'!$H$3:$H$55,'Utregning av grafer'!$A26,'Database kontormøbler - 2021'!$W$3:$W$55,1)+SUMIFS('Database kontormøbler - 2021'!$N$3:$N$55,'Database kontormøbler - 2021'!$H$3:$H$55,"Universitet/Høyskole",'Database kontormøbler - 2021'!$W$3:$W$55,1)</f>
        <v>294250000</v>
      </c>
      <c r="M26" s="108">
        <f>SUMIFS('Database kontormøbler - 2021'!$N$3:$N$55,'Database kontormøbler - 2021'!$H$3:$H$55,'Utregning av grafer'!$A26,'Database kontormøbler - 2021'!$W$3:$W$55,0)+SUMIFS('Database kontormøbler - 2021'!$N$3:$N$55,'Database kontormøbler - 2021'!$H$3:$H$55,"Universitet/Høyskole",'Database kontormøbler - 2021'!$W$3:$W$55,0)</f>
        <v>411659000</v>
      </c>
      <c r="N26" s="108">
        <f>SUM(L26:M26)</f>
        <v>705909000</v>
      </c>
      <c r="O26" s="6"/>
      <c r="P26" s="109">
        <f>L26/N26</f>
        <v>0.41683843101589579</v>
      </c>
      <c r="Q26" s="93"/>
      <c r="R26" s="5" t="s">
        <v>583</v>
      </c>
      <c r="S26" s="5" t="s">
        <v>575</v>
      </c>
    </row>
    <row r="27" spans="1:23" x14ac:dyDescent="0.25">
      <c r="A27" s="3" t="s">
        <v>99</v>
      </c>
      <c r="B27" s="107">
        <f>COUNTIFS('Database kontormøbler - 2021'!$H$3:$H$55,'Utregning av grafer'!A27,'Database kontormøbler - 2021'!$W$3:$W$55,1)</f>
        <v>11</v>
      </c>
      <c r="C27" s="107">
        <f>COUNTIFS('Database kontormøbler - 2021'!$H$3:$H$55,'Utregning av grafer'!$A27,'Database kontormøbler - 2021'!$W$3:$W$55,0)</f>
        <v>13</v>
      </c>
      <c r="D27" s="107">
        <f>SUM(B27:C27)</f>
        <v>24</v>
      </c>
      <c r="F27" s="3" t="s">
        <v>80</v>
      </c>
      <c r="G27" s="105">
        <f>B26/D26</f>
        <v>0.26923076923076922</v>
      </c>
      <c r="I27" s="105">
        <f>B29/D29</f>
        <v>0.33962264150943394</v>
      </c>
      <c r="J27" s="105">
        <f>1-I27</f>
        <v>0.66037735849056611</v>
      </c>
      <c r="L27" s="108">
        <f>SUMIFS('Database kontormøbler - 2021'!$N$3:$N$55,'Database kontormøbler - 2021'!$H$3:$H$55,'Utregning av grafer'!$A27,'Database kontormøbler - 2021'!$W$3:$W$55,1)</f>
        <v>150300000</v>
      </c>
      <c r="M27" s="108">
        <f>SUMIFS('Database kontormøbler - 2021'!$N$3:$N$55,'Database kontormøbler - 2021'!$H$3:$H$55,'Utregning av grafer'!$A27,'Database kontormøbler - 2021'!$W$3:$W$55,0)</f>
        <v>63200000</v>
      </c>
      <c r="N27" s="108">
        <f>SUM(L27:M27)</f>
        <v>213500000</v>
      </c>
      <c r="O27" s="6"/>
      <c r="P27" s="109">
        <f t="shared" ref="P27:P28" si="24">L27/N27</f>
        <v>0.70398126463700239</v>
      </c>
      <c r="Q27" s="93"/>
      <c r="R27" s="105">
        <f>SUM(L26:L28)/N29</f>
        <v>0.46212988287442602</v>
      </c>
      <c r="S27" s="105">
        <f>1-R27</f>
        <v>0.53787011712557398</v>
      </c>
    </row>
    <row r="28" spans="1:23" x14ac:dyDescent="0.25">
      <c r="A28" s="3" t="s">
        <v>130</v>
      </c>
      <c r="B28" s="107">
        <f>COUNTIFS('Database kontormøbler - 2021'!$H$3:$H$55,'Utregning av grafer'!A28,'Database kontormøbler - 2021'!$W$3:$W$55,1)</f>
        <v>0</v>
      </c>
      <c r="C28" s="107">
        <f>COUNTIFS('Database kontormøbler - 2021'!$H$3:$H$55,'Utregning av grafer'!$A28,'Database kontormøbler - 2021'!$W$3:$W$55,0)</f>
        <v>3</v>
      </c>
      <c r="D28" s="107">
        <f>SUM(B28:C28)</f>
        <v>3</v>
      </c>
      <c r="F28" s="3" t="s">
        <v>99</v>
      </c>
      <c r="G28" s="105">
        <f t="shared" ref="G28:G29" si="25">B27/D27</f>
        <v>0.45833333333333331</v>
      </c>
      <c r="L28" s="108">
        <f>SUMIFS('Database kontormøbler - 2021'!$N$3:$N$55,'Database kontormøbler - 2021'!$H$3:$H$55,'Utregning av grafer'!$A28,'Database kontormøbler - 2021'!$W$3:$W$55,1)</f>
        <v>0</v>
      </c>
      <c r="M28" s="108">
        <f>SUMIFS('Database kontormøbler - 2021'!$N$3:$N$55,'Database kontormøbler - 2021'!$H$3:$H$55,'Utregning av grafer'!$A28,'Database kontormøbler - 2021'!$W$3:$W$55,0)</f>
        <v>42550000</v>
      </c>
      <c r="N28" s="108">
        <f>SUM(L28:M28)</f>
        <v>42550000</v>
      </c>
      <c r="O28" s="6"/>
      <c r="P28" s="109">
        <f t="shared" si="24"/>
        <v>0</v>
      </c>
      <c r="Q28" s="93"/>
    </row>
    <row r="29" spans="1:23" x14ac:dyDescent="0.25">
      <c r="A29" s="3" t="s">
        <v>562</v>
      </c>
      <c r="B29" s="107">
        <f>SUM(B26:B28)</f>
        <v>18</v>
      </c>
      <c r="C29" s="107">
        <f>SUM(C26:C28)</f>
        <v>35</v>
      </c>
      <c r="D29" s="107">
        <f>SUM(D26:D28)</f>
        <v>53</v>
      </c>
      <c r="F29" s="3" t="s">
        <v>130</v>
      </c>
      <c r="G29" s="105">
        <f t="shared" si="25"/>
        <v>0</v>
      </c>
      <c r="L29" s="108">
        <f>SUM(L26:L28)</f>
        <v>444550000</v>
      </c>
      <c r="M29" s="108">
        <f>SUM(M26:M28)</f>
        <v>517409000</v>
      </c>
      <c r="N29" s="108">
        <f>SUM(N26:N28)</f>
        <v>961959000</v>
      </c>
      <c r="O29" s="6"/>
    </row>
    <row r="30" spans="1:23" x14ac:dyDescent="0.25">
      <c r="G30" s="16"/>
    </row>
    <row r="33" spans="1:19" ht="35.25" customHeight="1" x14ac:dyDescent="0.25">
      <c r="A33" s="102" t="s">
        <v>584</v>
      </c>
      <c r="B33" s="3" t="s">
        <v>572</v>
      </c>
      <c r="C33" s="3" t="s">
        <v>573</v>
      </c>
      <c r="D33" s="3" t="s">
        <v>562</v>
      </c>
      <c r="F33" s="3" t="s">
        <v>7</v>
      </c>
      <c r="G33" s="3" t="s">
        <v>563</v>
      </c>
      <c r="I33" s="143" t="s">
        <v>568</v>
      </c>
      <c r="J33" s="143"/>
      <c r="L33" s="3" t="s">
        <v>572</v>
      </c>
      <c r="M33" s="3" t="s">
        <v>573</v>
      </c>
      <c r="N33" s="3" t="s">
        <v>562</v>
      </c>
      <c r="P33" s="5" t="s">
        <v>581</v>
      </c>
      <c r="Q33" s="34"/>
      <c r="R33" s="143" t="s">
        <v>570</v>
      </c>
      <c r="S33" s="143"/>
    </row>
    <row r="34" spans="1:19" ht="60" x14ac:dyDescent="0.25">
      <c r="A34" s="3" t="s">
        <v>80</v>
      </c>
      <c r="B34" s="110">
        <f>COUNTIFS('Database kontormøbler - 2021'!$H$3:$H$55,'Utregning av grafer'!$A26,'Database kontormøbler - 2021'!$X$3:$X$55,1)+COUNTIFS('Database kontormøbler - 2021'!$H$3:$H$55,"Universitet/Høyskole",'Database kontormøbler - 2021'!$X$3:$X$55,1)</f>
        <v>3</v>
      </c>
      <c r="C34" s="110">
        <f>COUNTIFS('Database kontormøbler - 2021'!$H$3:$H$55,'Utregning av grafer'!$A26,'Database kontormøbler - 2021'!$X$3:$X$55,0)+COUNTIFS('Database kontormøbler - 2021'!$H$3:$H$55,"Universitet/Høyskole",'Database kontormøbler - 2021'!$X$3:$X$55,0)</f>
        <v>23</v>
      </c>
      <c r="D34" s="3">
        <f>SUM(B34:C34)</f>
        <v>26</v>
      </c>
      <c r="F34" s="3" t="s">
        <v>80</v>
      </c>
      <c r="G34" s="105">
        <f>B34/D34</f>
        <v>0.11538461538461539</v>
      </c>
      <c r="I34" s="5" t="s">
        <v>585</v>
      </c>
      <c r="J34" s="5" t="s">
        <v>575</v>
      </c>
      <c r="L34" s="108">
        <f>SUMIFS('Database kontormøbler - 2021'!$N$3:$N$55,'Database kontormøbler - 2021'!$H$3:$H$55,'Utregning av grafer'!$A34,'Database kontormøbler - 2021'!$X$3:$X$55,1)+SUMIFS('Database kontormøbler - 2021'!$N$3:$N$55,'Database kontormøbler - 2021'!$H$3:$H$55,"Universitet/Høyskole",'Database kontormøbler - 2021'!$X$3:$X$55,1)</f>
        <v>30000000</v>
      </c>
      <c r="M34" s="108">
        <f>SUMIFS('Database kontormøbler - 2021'!$N$3:$N$55,'Database kontormøbler - 2021'!$H$3:$H$55,'Utregning av grafer'!$A34,'Database kontormøbler - 2021'!$X$3:$X$55,0)+SUMIFS('Database kontormøbler - 2021'!$N$3:$N$55,'Database kontormøbler - 2021'!$H$3:$H$55,"Universitet/Høyskole",'Database kontormøbler - 2021'!$X$3:$X$55,0)</f>
        <v>675909000</v>
      </c>
      <c r="N34" s="108">
        <f>SUM(L34:M34)</f>
        <v>705909000</v>
      </c>
      <c r="O34" s="6"/>
      <c r="P34" s="109">
        <f>L34/N34</f>
        <v>4.2498395685562872E-2</v>
      </c>
      <c r="Q34" s="93"/>
      <c r="R34" s="5" t="s">
        <v>586</v>
      </c>
      <c r="S34" s="5" t="s">
        <v>587</v>
      </c>
    </row>
    <row r="35" spans="1:19" x14ac:dyDescent="0.25">
      <c r="A35" s="3" t="s">
        <v>99</v>
      </c>
      <c r="B35" s="3">
        <f>COUNTIFS('Database kontormøbler - 2021'!$H$3:$H$55,'Utregning av grafer'!$A27,'Database kontormøbler - 2021'!$X$3:$X$55,1)</f>
        <v>8</v>
      </c>
      <c r="C35" s="3">
        <f>COUNTIFS('Database kontormøbler - 2021'!$H$3:$H$55,'Utregning av grafer'!$A27,'Database kontormøbler - 2021'!$X$3:$X$55,0)</f>
        <v>16</v>
      </c>
      <c r="D35" s="3">
        <f t="shared" ref="D35" si="26">SUM(B35:C35)</f>
        <v>24</v>
      </c>
      <c r="F35" s="3" t="s">
        <v>99</v>
      </c>
      <c r="G35" s="105">
        <f t="shared" ref="G35" si="27">B35/D35</f>
        <v>0.33333333333333331</v>
      </c>
      <c r="I35" s="105">
        <f>B37/D37</f>
        <v>0.20754716981132076</v>
      </c>
      <c r="J35" s="105">
        <f>1-I35</f>
        <v>0.79245283018867929</v>
      </c>
      <c r="L35" s="108">
        <f>SUMIFS('Database kontormøbler - 2021'!$N$3:$N$55,'Database kontormøbler - 2021'!$H$3:$H$55,'Utregning av grafer'!$A35,'Database kontormøbler - 2021'!$X$3:$X$55,1)</f>
        <v>111500000</v>
      </c>
      <c r="M35" s="108">
        <f>SUMIFS('Database kontormøbler - 2021'!$N$3:$N$55,'Database kontormøbler - 2021'!$H$3:$H$55,'Utregning av grafer'!$A35,'Database kontormøbler - 2021'!$X$3:$X$55,0)</f>
        <v>102000000</v>
      </c>
      <c r="N35" s="108">
        <f>SUM(L35:M35)</f>
        <v>213500000</v>
      </c>
      <c r="O35" s="6"/>
      <c r="P35" s="109">
        <f t="shared" ref="P35" si="28">L35/N35</f>
        <v>0.52224824355971899</v>
      </c>
      <c r="Q35" s="93"/>
      <c r="R35" s="105">
        <f>SUM(L34:L36)/N37</f>
        <v>0.14709566623941353</v>
      </c>
      <c r="S35" s="105">
        <f>1-R35</f>
        <v>0.8529043337605865</v>
      </c>
    </row>
    <row r="36" spans="1:19" x14ac:dyDescent="0.25">
      <c r="A36" s="3" t="s">
        <v>130</v>
      </c>
      <c r="B36" s="3">
        <f>COUNTIFS('Database kontormøbler - 2021'!$H$3:$H$55,'Utregning av grafer'!$A28,'Database kontormøbler - 2021'!$X$3:$X$55,1)</f>
        <v>0</v>
      </c>
      <c r="C36" s="3">
        <f>COUNTIFS('Database kontormøbler - 2021'!$H$3:$H$55,'Utregning av grafer'!$A28,'Database kontormøbler - 2021'!$X$3:$X$55,0)</f>
        <v>3</v>
      </c>
      <c r="D36" s="3">
        <f>SUM(B36:C36)</f>
        <v>3</v>
      </c>
      <c r="F36" s="3" t="s">
        <v>130</v>
      </c>
      <c r="G36" s="105">
        <f>B36/D36</f>
        <v>0</v>
      </c>
      <c r="L36" s="108">
        <f>SUMIFS('Database kontormøbler - 2021'!$N$3:$N$55,'Database kontormøbler - 2021'!$H$3:$H$55,'Utregning av grafer'!$A36,'Database kontormøbler - 2021'!$X$3:$X$55,1)</f>
        <v>0</v>
      </c>
      <c r="M36" s="108">
        <f>SUMIFS('Database kontormøbler - 2021'!$N$3:$N$55,'Database kontormøbler - 2021'!$H$3:$H$55,'Utregning av grafer'!$A36,'Database kontormøbler - 2021'!$X$3:$X$55,0)</f>
        <v>42550000</v>
      </c>
      <c r="N36" s="108">
        <f>SUM(L36:M36)</f>
        <v>42550000</v>
      </c>
      <c r="O36" s="6"/>
      <c r="P36" s="109">
        <f>L36/N36</f>
        <v>0</v>
      </c>
      <c r="Q36" s="93"/>
    </row>
    <row r="37" spans="1:19" x14ac:dyDescent="0.25">
      <c r="A37" s="3" t="s">
        <v>562</v>
      </c>
      <c r="B37" s="3">
        <f>SUM(B34:B36)</f>
        <v>11</v>
      </c>
      <c r="C37" s="3">
        <f>SUM(C34:C36)</f>
        <v>42</v>
      </c>
      <c r="D37" s="3">
        <f>SUM(D34:D36)</f>
        <v>53</v>
      </c>
      <c r="L37" s="108">
        <f>SUM(L34:L36)</f>
        <v>141500000</v>
      </c>
      <c r="M37" s="108">
        <f>SUM(M34:M36)</f>
        <v>820459000</v>
      </c>
      <c r="N37" s="108">
        <f>SUM(N34:N36)</f>
        <v>961959000</v>
      </c>
      <c r="O37" s="6"/>
      <c r="P37" s="6"/>
      <c r="Q37" s="6"/>
    </row>
    <row r="41" spans="1:19" ht="33.75" customHeight="1" x14ac:dyDescent="0.25">
      <c r="A41" s="102" t="s">
        <v>23</v>
      </c>
      <c r="B41" s="3" t="s">
        <v>572</v>
      </c>
      <c r="C41" s="3" t="s">
        <v>573</v>
      </c>
      <c r="D41" s="3" t="s">
        <v>562</v>
      </c>
      <c r="F41" s="3" t="s">
        <v>7</v>
      </c>
      <c r="G41" s="3" t="s">
        <v>563</v>
      </c>
      <c r="I41" s="143" t="s">
        <v>568</v>
      </c>
      <c r="J41" s="143"/>
      <c r="L41" s="3" t="s">
        <v>572</v>
      </c>
      <c r="M41" s="3" t="s">
        <v>573</v>
      </c>
      <c r="N41" s="3" t="s">
        <v>562</v>
      </c>
      <c r="P41" s="5" t="s">
        <v>588</v>
      </c>
      <c r="Q41" s="34"/>
      <c r="R41" s="143" t="s">
        <v>570</v>
      </c>
      <c r="S41" s="143"/>
    </row>
    <row r="42" spans="1:19" ht="45" x14ac:dyDescent="0.25">
      <c r="A42" s="3" t="s">
        <v>80</v>
      </c>
      <c r="B42" s="3">
        <f>COUNTIFS('Database kontormøbler - 2021'!$H$3:$H$55,'Utregning av grafer'!$A26,'Database kontormøbler - 2021'!$Y$3:$Y$55,1)+COUNTIFS('Database kontormøbler - 2021'!$H$3:$H$55,"Universitet/Høyskole",'Database kontormøbler - 2021'!$Y$3:$Y$55,1)</f>
        <v>8</v>
      </c>
      <c r="C42" s="3">
        <f>COUNTIFS('Database kontormøbler - 2021'!$H$3:$H$55,'Utregning av grafer'!$A26,'Database kontormøbler - 2021'!$Y$3:$Y$55,0)+COUNTIFS('Database kontormøbler - 2021'!$H$3:$H$55,"Universitet/Høyskole",'Database kontormøbler - 2021'!$Y$3:$Y$55,0)</f>
        <v>18</v>
      </c>
      <c r="D42" s="3">
        <f>SUM(B42:C42)</f>
        <v>26</v>
      </c>
      <c r="F42" s="3" t="s">
        <v>80</v>
      </c>
      <c r="G42" s="105">
        <f>B42/D42</f>
        <v>0.30769230769230771</v>
      </c>
      <c r="I42" s="5" t="s">
        <v>589</v>
      </c>
      <c r="J42" s="5" t="s">
        <v>590</v>
      </c>
      <c r="L42" s="108">
        <f>SUMIFS('Database kontormøbler - 2021'!$N$3:$N$55,'Database kontormøbler - 2021'!$H$3:$H$55,'Utregning av grafer'!$A42,'Database kontormøbler - 2021'!$Y$3:$Y$55,1)+SUMIFS('Database kontormøbler - 2021'!$N$3:$N$55,'Database kontormøbler - 2021'!$H$3:$H$55,"Universitet/Høyskole",'Database kontormøbler - 2021'!$Y$3:$Y$55,1)</f>
        <v>240550000</v>
      </c>
      <c r="M42" s="108">
        <f>SUMIFS('Database kontormøbler - 2021'!$N$3:$N$55,'Database kontormøbler - 2021'!$H$3:$H$55,'Utregning av grafer'!$A42,'Database kontormøbler - 2021'!$Y$3:$Y$55,0)+SUMIFS('Database kontormøbler - 2021'!$N$3:$N$55,'Database kontormøbler - 2021'!$H$3:$H$55,"Universitet/Høyskole",'Database kontormøbler - 2021'!$Y$3:$Y$55,0)</f>
        <v>465359000</v>
      </c>
      <c r="N42" s="108">
        <f>SUM(L42:M42)</f>
        <v>705909000</v>
      </c>
      <c r="P42" s="109">
        <f>L42/N42</f>
        <v>0.34076630273873826</v>
      </c>
      <c r="Q42" s="93"/>
      <c r="R42" s="5" t="s">
        <v>591</v>
      </c>
      <c r="S42" s="5" t="s">
        <v>592</v>
      </c>
    </row>
    <row r="43" spans="1:19" x14ac:dyDescent="0.25">
      <c r="A43" s="3" t="s">
        <v>99</v>
      </c>
      <c r="B43" s="3">
        <f>COUNTIFS('Database kontormøbler - 2021'!$H$3:$H$55,'Utregning av grafer'!$A27,'Database kontormøbler - 2021'!$Y$3:$Y$55,1)</f>
        <v>9</v>
      </c>
      <c r="C43" s="3">
        <f>COUNTIFS('Database kontormøbler - 2021'!$H$3:$H$55,'Utregning av grafer'!$A27,'Database kontormøbler - 2021'!$Y$3:$Y$55,0)</f>
        <v>15</v>
      </c>
      <c r="D43" s="3">
        <f t="shared" ref="D43:D44" si="29">SUM(B43:C43)</f>
        <v>24</v>
      </c>
      <c r="F43" s="3" t="s">
        <v>99</v>
      </c>
      <c r="G43" s="105">
        <f t="shared" ref="G43:G44" si="30">B43/D43</f>
        <v>0.375</v>
      </c>
      <c r="I43" s="105">
        <f>B45/D45</f>
        <v>0.33962264150943394</v>
      </c>
      <c r="J43" s="105">
        <f>1-I43</f>
        <v>0.66037735849056611</v>
      </c>
      <c r="L43" s="108">
        <f>SUMIFS('Database kontormøbler - 2021'!$N$3:$N$55,'Database kontormøbler - 2021'!$H$3:$H$55,'Utregning av grafer'!$A43,'Database kontormøbler - 2021'!$Y$3:$Y$55,1)</f>
        <v>104800000</v>
      </c>
      <c r="M43" s="108">
        <f>SUMIFS('Database kontormøbler - 2021'!$N$3:$N$55,'Database kontormøbler - 2021'!$H$3:$H$55,'Utregning av grafer'!$A43,'Database kontormøbler - 2021'!$Y$3:$Y$55,0)</f>
        <v>108700000</v>
      </c>
      <c r="N43" s="108">
        <f>SUM(L43:M43)</f>
        <v>213500000</v>
      </c>
      <c r="P43" s="109">
        <f>L43/N43</f>
        <v>0.49086651053864166</v>
      </c>
      <c r="Q43" s="93"/>
      <c r="R43" s="105">
        <f>SUM(L42:L44)/N45</f>
        <v>0.40058879848309542</v>
      </c>
      <c r="S43" s="105">
        <f>1-R43</f>
        <v>0.59941120151690463</v>
      </c>
    </row>
    <row r="44" spans="1:19" x14ac:dyDescent="0.25">
      <c r="A44" s="3" t="s">
        <v>130</v>
      </c>
      <c r="B44" s="3">
        <f>COUNTIFS('Database kontormøbler - 2021'!$H$3:$H$55,'Utregning av grafer'!$A28,'Database kontormøbler - 2021'!$Y$3:$Y$55,1)</f>
        <v>1</v>
      </c>
      <c r="C44" s="3">
        <f>COUNTIFS('Database kontormøbler - 2021'!$H$3:$H$55,'Utregning av grafer'!$A28,'Database kontormøbler - 2021'!$Y$3:$Y$55,0)</f>
        <v>2</v>
      </c>
      <c r="D44" s="3">
        <f t="shared" si="29"/>
        <v>3</v>
      </c>
      <c r="F44" s="3" t="s">
        <v>130</v>
      </c>
      <c r="G44" s="105">
        <f t="shared" si="30"/>
        <v>0.33333333333333331</v>
      </c>
      <c r="L44" s="108">
        <f>SUMIFS('Database kontormøbler - 2021'!$N$3:$N$55,'Database kontormøbler - 2021'!$H$3:$H$55,'Utregning av grafer'!$A44,'Database kontormøbler - 2021'!$Y$3:$Y$55,1)</f>
        <v>40000000</v>
      </c>
      <c r="M44" s="108">
        <f>SUMIFS('Database kontormøbler - 2021'!$N$3:$N$55,'Database kontormøbler - 2021'!$H$3:$H$55,'Utregning av grafer'!$A44,'Database kontormøbler - 2021'!$Y$3:$Y$55,0)</f>
        <v>2550000</v>
      </c>
      <c r="N44" s="108">
        <f>SUM(L44:M44)</f>
        <v>42550000</v>
      </c>
      <c r="P44" s="109">
        <f>L44/N44</f>
        <v>0.9400705052878966</v>
      </c>
      <c r="Q44" s="93"/>
    </row>
    <row r="45" spans="1:19" x14ac:dyDescent="0.25">
      <c r="A45" s="3" t="s">
        <v>562</v>
      </c>
      <c r="B45" s="3">
        <f>SUM(B42:B44)</f>
        <v>18</v>
      </c>
      <c r="C45" s="3">
        <f>SUM(C42:C44)</f>
        <v>35</v>
      </c>
      <c r="D45" s="3">
        <f>SUM(D42:D44)</f>
        <v>53</v>
      </c>
      <c r="L45" s="108">
        <f>SUM(L42:L44)</f>
        <v>385350000</v>
      </c>
      <c r="M45" s="108">
        <f>SUM(M42:M44)</f>
        <v>576609000</v>
      </c>
      <c r="N45" s="108">
        <f>SUM(N42:N44)</f>
        <v>961959000</v>
      </c>
    </row>
    <row r="49" spans="1:19" ht="31.5" customHeight="1" x14ac:dyDescent="0.25">
      <c r="A49" s="102" t="s">
        <v>593</v>
      </c>
      <c r="B49" s="3" t="s">
        <v>572</v>
      </c>
      <c r="C49" s="3" t="s">
        <v>573</v>
      </c>
      <c r="D49" s="3" t="s">
        <v>562</v>
      </c>
      <c r="F49" s="3" t="s">
        <v>7</v>
      </c>
      <c r="G49" s="3" t="s">
        <v>563</v>
      </c>
      <c r="I49" s="143" t="s">
        <v>568</v>
      </c>
      <c r="J49" s="143"/>
      <c r="L49" s="3" t="s">
        <v>572</v>
      </c>
      <c r="M49" s="3" t="s">
        <v>573</v>
      </c>
      <c r="N49" s="3" t="s">
        <v>562</v>
      </c>
      <c r="P49" s="5" t="s">
        <v>594</v>
      </c>
      <c r="Q49" s="34"/>
      <c r="R49" s="143" t="s">
        <v>570</v>
      </c>
      <c r="S49" s="143"/>
    </row>
    <row r="50" spans="1:19" ht="45" x14ac:dyDescent="0.25">
      <c r="A50" s="3" t="s">
        <v>80</v>
      </c>
      <c r="B50" s="3">
        <f>COUNTIFS('Database kontormøbler - 2021'!$H$3:$H$55,'Utregning av grafer'!$A26,'Database kontormøbler - 2021'!$Z$3:$Z$55,1)+COUNTIFS('Database kontormøbler - 2021'!$H$3:$H$55,"Universitet/Høyskole",'Database kontormøbler - 2021'!$Z$3:$Z$55,1)</f>
        <v>8</v>
      </c>
      <c r="C50" s="3">
        <f>COUNTIFS('Database kontormøbler - 2021'!$H$3:$H$55,'Utregning av grafer'!$A26,'Database kontormøbler - 2021'!$Z$3:$Z$55,0)+COUNTIFS('Database kontormøbler - 2021'!$H$3:$H$55,"Universitet/Høyskole",'Database kontormøbler - 2021'!$Z$3:$Z$55,0)</f>
        <v>18</v>
      </c>
      <c r="D50" s="3">
        <f>SUM(B50:C50)</f>
        <v>26</v>
      </c>
      <c r="F50" s="3" t="s">
        <v>80</v>
      </c>
      <c r="G50" s="105">
        <f>B50/D50</f>
        <v>0.30769230769230771</v>
      </c>
      <c r="I50" s="5" t="s">
        <v>595</v>
      </c>
      <c r="J50" s="5" t="s">
        <v>596</v>
      </c>
      <c r="L50" s="108">
        <f>SUMIFS('Database kontormøbler - 2021'!$N$3:$N$55,'Database kontormøbler - 2021'!$H$3:$H$55,'Utregning av grafer'!$A50,'Database kontormøbler - 2021'!$Z$3:$Z$55,1)+SUMIFS('Database kontormøbler - 2021'!$N$3:$N$55,'Database kontormøbler - 2021'!$H$3:$H$55,"Universitet/Høyskole",'Database kontormøbler - 2021'!$Z$3:$Z$55,1)</f>
        <v>303800000</v>
      </c>
      <c r="M50" s="108">
        <f>SUMIFS('Database kontormøbler - 2021'!$N$3:$N$55,'Database kontormøbler - 2021'!$H$3:$H$55,'Utregning av grafer'!$A50,'Database kontormøbler - 2021'!$Z$3:$Z$55,0)+SUMIFS('Database kontormøbler - 2021'!$N$3:$N$55,'Database kontormøbler - 2021'!$H$3:$H$55,"Universitet/Høyskole",'Database kontormøbler - 2021'!$Z$3:$Z$55,0)</f>
        <v>402109000</v>
      </c>
      <c r="N50" s="108">
        <f>SUM(L50:M50)</f>
        <v>705909000</v>
      </c>
      <c r="P50" s="109">
        <f>L50/N50</f>
        <v>0.43036708697580001</v>
      </c>
      <c r="Q50" s="93"/>
      <c r="R50" s="5" t="s">
        <v>597</v>
      </c>
      <c r="S50" s="5" t="s">
        <v>598</v>
      </c>
    </row>
    <row r="51" spans="1:19" x14ac:dyDescent="0.25">
      <c r="A51" s="3" t="s">
        <v>99</v>
      </c>
      <c r="B51" s="3">
        <f>COUNTIFS('Database kontormøbler - 2021'!$H$3:$H$55,'Utregning av grafer'!$A27,'Database kontormøbler - 2021'!$Z$3:$Z$55,1)</f>
        <v>6</v>
      </c>
      <c r="C51" s="3">
        <f>COUNTIFS('Database kontormøbler - 2021'!$H$3:$H$55,'Utregning av grafer'!$A51,'Database kontormøbler - 2021'!$Z$3:$Z$55,0)</f>
        <v>18</v>
      </c>
      <c r="D51" s="3">
        <f t="shared" ref="D51:D52" si="31">SUM(B51:C51)</f>
        <v>24</v>
      </c>
      <c r="F51" s="3" t="s">
        <v>99</v>
      </c>
      <c r="G51" s="105">
        <f t="shared" ref="G51:G52" si="32">B51/D51</f>
        <v>0.25</v>
      </c>
      <c r="I51" s="105">
        <f>B53/D53</f>
        <v>0.28301886792452829</v>
      </c>
      <c r="J51" s="105">
        <f>1-I51</f>
        <v>0.71698113207547176</v>
      </c>
      <c r="L51" s="108">
        <f>SUMIFS('Database kontormøbler - 2021'!$N$3:$N$55,'Database kontormøbler - 2021'!$H$3:$H$55,'Utregning av grafer'!$A51,'Database kontormøbler - 2021'!$Z$3:$Z$55,1)</f>
        <v>119500000</v>
      </c>
      <c r="M51" s="108">
        <f>SUMIFS('Database kontormøbler - 2021'!$N$3:$N$55,'Database kontormøbler - 2021'!$H$3:$H$55,'Utregning av grafer'!$A51,'Database kontormøbler - 2021'!$Z$3:$Z$55,0)</f>
        <v>94000000</v>
      </c>
      <c r="N51" s="108">
        <f>SUM(L51:M51)</f>
        <v>213500000</v>
      </c>
      <c r="P51" s="109">
        <f t="shared" ref="P51:P52" si="33">L51/N51</f>
        <v>0.55971896955503508</v>
      </c>
      <c r="Q51" s="93"/>
      <c r="R51" s="105">
        <f>SUM(L50:L52)/N53</f>
        <v>0.48162135808282891</v>
      </c>
      <c r="S51" s="105">
        <f>1-R51</f>
        <v>0.51837864191717109</v>
      </c>
    </row>
    <row r="52" spans="1:19" x14ac:dyDescent="0.25">
      <c r="A52" s="3" t="s">
        <v>130</v>
      </c>
      <c r="B52" s="3">
        <f>COUNTIFS('Database kontormøbler - 2021'!$H$3:$H$55,'Utregning av grafer'!$A28,'Database kontormøbler - 2021'!$Z$3:$Z$55,1)</f>
        <v>1</v>
      </c>
      <c r="C52" s="3">
        <f>COUNTIFS('Database kontormøbler - 2021'!$H$3:$H$55,'Utregning av grafer'!$A52,'Database kontormøbler - 2021'!$Z$3:$Z$55,0)</f>
        <v>2</v>
      </c>
      <c r="D52" s="3">
        <f t="shared" si="31"/>
        <v>3</v>
      </c>
      <c r="F52" s="3" t="s">
        <v>130</v>
      </c>
      <c r="G52" s="105">
        <f t="shared" si="32"/>
        <v>0.33333333333333331</v>
      </c>
      <c r="L52" s="108">
        <f>SUMIFS('Database kontormøbler - 2021'!$N$3:$N$55,'Database kontormøbler - 2021'!$H$3:$H$55,'Utregning av grafer'!$A52,'Database kontormøbler - 2021'!$Z$3:$Z$55,1)</f>
        <v>40000000</v>
      </c>
      <c r="M52" s="108">
        <f>SUMIFS('Database kontormøbler - 2021'!$N$3:$N$55,'Database kontormøbler - 2021'!$H$3:$H$55,'Utregning av grafer'!$A52,'Database kontormøbler - 2021'!$Z$3:$Z$55,0)</f>
        <v>2550000</v>
      </c>
      <c r="N52" s="108">
        <f>SUM(L52:M52)</f>
        <v>42550000</v>
      </c>
      <c r="P52" s="109">
        <f t="shared" si="33"/>
        <v>0.9400705052878966</v>
      </c>
      <c r="Q52" s="93"/>
    </row>
    <row r="53" spans="1:19" x14ac:dyDescent="0.25">
      <c r="A53" s="3" t="s">
        <v>562</v>
      </c>
      <c r="B53" s="3">
        <f>SUM(B50:B52)</f>
        <v>15</v>
      </c>
      <c r="C53" s="3">
        <f>SUM(C50:C52)</f>
        <v>38</v>
      </c>
      <c r="D53" s="3">
        <f>SUM(B53:C53)</f>
        <v>53</v>
      </c>
      <c r="L53" s="108">
        <f>SUM(L50:L52)</f>
        <v>463300000</v>
      </c>
      <c r="M53" s="108">
        <f>SUM(M50:M52)</f>
        <v>498659000</v>
      </c>
      <c r="N53" s="108">
        <f>SUM(N50:N52)</f>
        <v>961959000</v>
      </c>
    </row>
    <row r="57" spans="1:19" ht="30" x14ac:dyDescent="0.25">
      <c r="A57" s="102" t="s">
        <v>599</v>
      </c>
      <c r="B57" s="3" t="s">
        <v>572</v>
      </c>
      <c r="C57" s="3" t="s">
        <v>573</v>
      </c>
      <c r="D57" s="3" t="s">
        <v>562</v>
      </c>
      <c r="F57" s="3" t="s">
        <v>7</v>
      </c>
      <c r="G57" s="3" t="s">
        <v>563</v>
      </c>
      <c r="I57" s="143" t="s">
        <v>568</v>
      </c>
      <c r="J57" s="143"/>
      <c r="L57" s="3" t="s">
        <v>572</v>
      </c>
      <c r="M57" s="3" t="s">
        <v>573</v>
      </c>
      <c r="N57" s="3" t="s">
        <v>562</v>
      </c>
      <c r="P57" s="5" t="s">
        <v>600</v>
      </c>
      <c r="Q57" s="34"/>
      <c r="R57" s="143" t="s">
        <v>570</v>
      </c>
      <c r="S57" s="143"/>
    </row>
    <row r="58" spans="1:19" ht="45" x14ac:dyDescent="0.25">
      <c r="A58" s="3" t="s">
        <v>80</v>
      </c>
      <c r="B58" s="3">
        <f>COUNTIFS('Database kontormøbler - 2021'!$H$3:$H$55,'Utregning av grafer'!$A34,'Database kontormøbler - 2021'!$AA$3:$AA$55,1)+COUNTIFS('Database kontormøbler - 2021'!$H$3:$H$55,"Universitet/Høyskole",'Database kontormøbler - 2021'!$AA$3:$AA$55,1)</f>
        <v>22</v>
      </c>
      <c r="C58" s="3">
        <f>COUNTIFS('Database kontormøbler - 2021'!$H$3:$H$55,'Utregning av grafer'!$A34,'Database kontormøbler - 2021'!$AA$3:$AA$55,0)+COUNTIFS('Database kontormøbler - 2021'!$H$3:$H$55,"Universitet/Høyskole",'Database kontormøbler - 2021'!$AA$3:$AA$55,0)</f>
        <v>4</v>
      </c>
      <c r="D58" s="3">
        <f>SUM(B58:C58)</f>
        <v>26</v>
      </c>
      <c r="F58" s="3" t="s">
        <v>80</v>
      </c>
      <c r="G58" s="105">
        <f>B58/D58</f>
        <v>0.84615384615384615</v>
      </c>
      <c r="I58" s="5" t="s">
        <v>601</v>
      </c>
      <c r="J58" s="5" t="s">
        <v>602</v>
      </c>
      <c r="L58" s="108">
        <f>SUMIFS('Database kontormøbler - 2021'!$N$3:$N$55,'Database kontormøbler - 2021'!$H$3:$H$55,'Utregning av grafer'!$A58,'Database kontormøbler - 2021'!$AA$3:$AA$55,1)+SUMIFS('Database kontormøbler - 2021'!$N$3:$N$55,'Database kontormøbler - 2021'!$H$3:$H$55,"Universitet/Høyskole",'Database kontormøbler - 2021'!$AA$3:$AA$55,1)</f>
        <v>688909000</v>
      </c>
      <c r="M58" s="108">
        <f>SUMIFS('Database kontormøbler - 2021'!$N$3:$N$55,'Database kontormøbler - 2021'!$H$3:$H$55,'Utregning av grafer'!$A58,'Database kontormøbler - 2021'!$AA$3:$AA$55,0)+SUMIFS('Database kontormøbler - 2021'!$N$3:$N$55,'Database kontormøbler - 2021'!$H$3:$H$55,"Universitet/Høyskole",'Database kontormøbler - 2021'!$AA$3:$AA$55,0)</f>
        <v>17000000</v>
      </c>
      <c r="N58" s="108">
        <f>SUM(L58:M58)</f>
        <v>705909000</v>
      </c>
      <c r="P58" s="109">
        <f>L58/N58</f>
        <v>0.97591757577818106</v>
      </c>
      <c r="Q58" s="93"/>
      <c r="R58" s="5" t="s">
        <v>603</v>
      </c>
      <c r="S58" s="5" t="s">
        <v>604</v>
      </c>
    </row>
    <row r="59" spans="1:19" x14ac:dyDescent="0.25">
      <c r="A59" s="3" t="s">
        <v>99</v>
      </c>
      <c r="B59" s="3">
        <f>COUNTIFS('Database kontormøbler - 2021'!$H$3:$H$55,'Utregning av grafer'!$A35,'Database kontormøbler - 2021'!$AA$3:$AA$55,1)</f>
        <v>17</v>
      </c>
      <c r="C59" s="3">
        <f>COUNTIFS('Database kontormøbler - 2021'!$H$3:$H$55,'Utregning av grafer'!$A35,'Database kontormøbler - 2021'!$AA$3:$AA$55,0)</f>
        <v>7</v>
      </c>
      <c r="D59" s="3">
        <f t="shared" ref="D59:D60" si="34">SUM(B59:C59)</f>
        <v>24</v>
      </c>
      <c r="F59" s="3" t="s">
        <v>99</v>
      </c>
      <c r="G59" s="105">
        <f t="shared" ref="G59:G60" si="35">B59/D59</f>
        <v>0.70833333333333337</v>
      </c>
      <c r="I59" s="105">
        <f>B61/D61</f>
        <v>0.79245283018867929</v>
      </c>
      <c r="J59" s="105">
        <f>1-I59</f>
        <v>0.20754716981132071</v>
      </c>
      <c r="L59" s="108">
        <f>SUMIFS('Database kontormøbler - 2021'!$N$3:$N$55,'Database kontormøbler - 2021'!$H$3:$H$55,'Utregning av grafer'!$A59,'Database kontormøbler - 2021'!$AA$3:$AA$55,1)</f>
        <v>190200000</v>
      </c>
      <c r="M59" s="108">
        <f>SUMIFS('Database kontormøbler - 2021'!$N$3:$N$55,'Database kontormøbler - 2021'!$H$3:$H$55,'Utregning av grafer'!$A59,'Database kontormøbler - 2021'!$AA$3:$AA$55,0)</f>
        <v>23300000</v>
      </c>
      <c r="N59" s="108">
        <f>SUM(L59:M59)</f>
        <v>213500000</v>
      </c>
      <c r="P59" s="109">
        <f t="shared" ref="P59:P60" si="36">L59/N59</f>
        <v>0.89086651053864163</v>
      </c>
      <c r="Q59" s="93"/>
      <c r="R59" s="105">
        <f>SUM(L58:L60)/N61</f>
        <v>0.95810632261873951</v>
      </c>
      <c r="S59" s="105">
        <f>1-R59</f>
        <v>4.1893677381260486E-2</v>
      </c>
    </row>
    <row r="60" spans="1:19" x14ac:dyDescent="0.25">
      <c r="A60" s="3" t="s">
        <v>130</v>
      </c>
      <c r="B60" s="3">
        <f>COUNTIFS('Database kontormøbler - 2021'!$H$3:$H$55,'Utregning av grafer'!$A36,'Database kontormøbler - 2021'!$AA$3:$AA$55,1)</f>
        <v>3</v>
      </c>
      <c r="C60" s="3">
        <f>COUNTIFS('Database kontormøbler - 2021'!$H$3:$H$55,'Utregning av grafer'!$A36,'Database kontormøbler - 2021'!$AA$3:$AA$55,0)</f>
        <v>0</v>
      </c>
      <c r="D60" s="3">
        <f t="shared" si="34"/>
        <v>3</v>
      </c>
      <c r="F60" s="3" t="s">
        <v>130</v>
      </c>
      <c r="G60" s="105">
        <f t="shared" si="35"/>
        <v>1</v>
      </c>
      <c r="L60" s="108">
        <f>SUMIFS('Database kontormøbler - 2021'!$N$3:$N$55,'Database kontormøbler - 2021'!$H$3:$H$55,'Utregning av grafer'!$A60,'Database kontormøbler - 2021'!$AA$3:$AA$55,1)</f>
        <v>42550000</v>
      </c>
      <c r="M60" s="108">
        <f>SUMIFS('Database kontormøbler - 2021'!$N$3:$N$55,'Database kontormøbler - 2021'!$H$3:$H$55,'Utregning av grafer'!$A60,'Database kontormøbler - 2021'!$AA$3:$AA$55,0)</f>
        <v>0</v>
      </c>
      <c r="N60" s="108">
        <f>SUM(L60:M60)</f>
        <v>42550000</v>
      </c>
      <c r="P60" s="109">
        <f t="shared" si="36"/>
        <v>1</v>
      </c>
      <c r="Q60" s="93"/>
    </row>
    <row r="61" spans="1:19" x14ac:dyDescent="0.25">
      <c r="A61" s="3" t="s">
        <v>562</v>
      </c>
      <c r="B61" s="3">
        <f>SUM(B58:B60)</f>
        <v>42</v>
      </c>
      <c r="C61" s="3">
        <f>SUM(C58:C60)</f>
        <v>11</v>
      </c>
      <c r="D61" s="3">
        <f>SUM(B61:C61)</f>
        <v>53</v>
      </c>
      <c r="L61" s="108">
        <f>SUM(L58:L60)</f>
        <v>921659000</v>
      </c>
      <c r="M61" s="108">
        <f>SUM(M58:M60)</f>
        <v>40300000</v>
      </c>
      <c r="N61" s="108">
        <f>SUM(N58:N60)</f>
        <v>961959000</v>
      </c>
    </row>
    <row r="65" spans="1:19" ht="30.6" customHeight="1" x14ac:dyDescent="0.25">
      <c r="A65" s="102" t="s">
        <v>605</v>
      </c>
      <c r="B65" s="3" t="s">
        <v>572</v>
      </c>
      <c r="C65" s="3" t="s">
        <v>573</v>
      </c>
      <c r="D65" s="3" t="s">
        <v>562</v>
      </c>
      <c r="F65" s="3" t="s">
        <v>7</v>
      </c>
      <c r="G65" s="3" t="s">
        <v>563</v>
      </c>
      <c r="I65" s="143" t="s">
        <v>568</v>
      </c>
      <c r="J65" s="143"/>
      <c r="L65" s="3" t="s">
        <v>572</v>
      </c>
      <c r="M65" s="3" t="s">
        <v>573</v>
      </c>
      <c r="N65" s="3" t="s">
        <v>562</v>
      </c>
      <c r="P65" s="5" t="s">
        <v>606</v>
      </c>
      <c r="Q65" s="34"/>
      <c r="R65" s="143" t="s">
        <v>570</v>
      </c>
      <c r="S65" s="143"/>
    </row>
    <row r="66" spans="1:19" ht="60" x14ac:dyDescent="0.25">
      <c r="A66" s="3" t="s">
        <v>80</v>
      </c>
      <c r="B66" s="3">
        <f>COUNTIFS('Database kontormøbler - 2021'!$H$3:$H$55,'Utregning av grafer'!$A42,'Database kontormøbler - 2021'!$AG$3:$AG$55,1)+COUNTIFS('Database kontormøbler - 2021'!$H$3:$H$55,"Universitet/Høyskole",'Database kontormøbler - 2021'!$AG$3:$AG$55,1)</f>
        <v>10</v>
      </c>
      <c r="C66" s="3">
        <f>COUNTIFS('Database kontormøbler - 2021'!$H$3:$H$55,'Utregning av grafer'!$A42,'Database kontormøbler - 2021'!$AG$3:$AG$55,0)+COUNTIFS('Database kontormøbler - 2021'!$H$3:$H$55,"Universitet/Høyskole",'Database kontormøbler - 2021'!$AG$3:$AG$55,0)</f>
        <v>16</v>
      </c>
      <c r="D66" s="3">
        <f>SUM(B66:C66)</f>
        <v>26</v>
      </c>
      <c r="F66" s="3" t="s">
        <v>80</v>
      </c>
      <c r="G66" s="105">
        <f>B66/D66</f>
        <v>0.38461538461538464</v>
      </c>
      <c r="I66" s="5" t="s">
        <v>607</v>
      </c>
      <c r="J66" s="5" t="s">
        <v>608</v>
      </c>
      <c r="L66" s="108">
        <f>SUMIFS('Database kontormøbler - 2021'!$N$3:$N$55,'Database kontormøbler - 2021'!$H$3:$H$55,'Utregning av grafer'!$A66,'Database kontormøbler - 2021'!$AG$3:$AG$55,1)+SUMIFS('Database kontormøbler - 2021'!$N$3:$N$55,'Database kontormøbler - 2021'!$H$3:$H$55,"Universitet/Høyskole",'Database kontormøbler - 2021'!$AG$3:$AG$55,1)</f>
        <v>305099000</v>
      </c>
      <c r="M66" s="108">
        <f>SUMIFS('Database kontormøbler - 2021'!$N$3:$N$55,'Database kontormøbler - 2021'!$H$3:$H$55,'Utregning av grafer'!$A66,'Database kontormøbler - 2021'!$AG$3:$AG$55,0)+SUMIFS('Database kontormøbler - 2021'!$N$3:$N$55,'Database kontormøbler - 2021'!$H$3:$H$55,"Universitet/Høyskole",'Database kontormøbler - 2021'!$AG$3:$AG$55,0)</f>
        <v>400810000</v>
      </c>
      <c r="N66" s="108">
        <f>SUM(L66:M66)</f>
        <v>705909000</v>
      </c>
      <c r="P66" s="109">
        <f>L66/N66</f>
        <v>0.43220726750898486</v>
      </c>
      <c r="Q66" s="93"/>
      <c r="R66" s="5" t="s">
        <v>609</v>
      </c>
      <c r="S66" s="5" t="s">
        <v>608</v>
      </c>
    </row>
    <row r="67" spans="1:19" x14ac:dyDescent="0.25">
      <c r="A67" s="3" t="s">
        <v>99</v>
      </c>
      <c r="B67" s="3">
        <f>COUNTIFS('Database kontormøbler - 2021'!$H$3:$H$55,'Utregning av grafer'!$A43,'Database kontormøbler - 2021'!$AG$3:$AG$55,1)</f>
        <v>11</v>
      </c>
      <c r="C67" s="3">
        <f>COUNTIFS('Database kontormøbler - 2021'!$H$3:$H$55,'Utregning av grafer'!$A43,'Database kontormøbler - 2021'!$AG$3:$AG$55,0)</f>
        <v>13</v>
      </c>
      <c r="D67" s="3">
        <f t="shared" ref="D67:D68" si="37">SUM(B67:C67)</f>
        <v>24</v>
      </c>
      <c r="F67" s="3" t="s">
        <v>99</v>
      </c>
      <c r="G67" s="105">
        <f t="shared" ref="G67:G68" si="38">B67/D67</f>
        <v>0.45833333333333331</v>
      </c>
      <c r="I67" s="105">
        <f>B69/D69</f>
        <v>0.41509433962264153</v>
      </c>
      <c r="J67" s="105">
        <f>1-I67</f>
        <v>0.58490566037735847</v>
      </c>
      <c r="L67" s="108">
        <f>SUMIFS('Database kontormøbler - 2021'!$N$3:$N$55,'Database kontormøbler - 2021'!$H$3:$H$55,'Utregning av grafer'!$A67,'Database kontormøbler - 2021'!$AG$3:$AG$55,1)</f>
        <v>143500000</v>
      </c>
      <c r="M67" s="108">
        <f>SUMIFS('Database kontormøbler - 2021'!$N$3:$N$55,'Database kontormøbler - 2021'!$H$3:$H$55,'Utregning av grafer'!$A67,'Database kontormøbler - 2021'!$AG$3:$AG$55,0)</f>
        <v>70000000</v>
      </c>
      <c r="N67" s="108">
        <f>SUM(L67:M67)</f>
        <v>213500000</v>
      </c>
      <c r="P67" s="109">
        <f t="shared" ref="P67:P68" si="39">L67/N67</f>
        <v>0.67213114754098358</v>
      </c>
      <c r="Q67" s="93"/>
      <c r="R67" s="105">
        <f>SUM(L66:L68)/N69</f>
        <v>0.50792081575202275</v>
      </c>
      <c r="S67" s="105">
        <f>1-R67</f>
        <v>0.49207918424797725</v>
      </c>
    </row>
    <row r="68" spans="1:19" x14ac:dyDescent="0.25">
      <c r="A68" s="3" t="s">
        <v>130</v>
      </c>
      <c r="B68" s="3">
        <f>COUNTIFS('Database kontormøbler - 2021'!$H$3:$H$55,'Utregning av grafer'!$A44,'Database kontormøbler - 2021'!$AG$3:$AG$55,1)</f>
        <v>1</v>
      </c>
      <c r="C68" s="3">
        <f>COUNTIFS('Database kontormøbler - 2021'!$H$3:$H$55,'Utregning av grafer'!$A44,'Database kontormøbler - 2021'!$AG$3:$AG$55,0)</f>
        <v>2</v>
      </c>
      <c r="D68" s="3">
        <f t="shared" si="37"/>
        <v>3</v>
      </c>
      <c r="F68" s="3" t="s">
        <v>130</v>
      </c>
      <c r="G68" s="105">
        <f t="shared" si="38"/>
        <v>0.33333333333333331</v>
      </c>
      <c r="L68" s="108">
        <f>SUMIFS('Database kontormøbler - 2021'!$N$3:$N$55,'Database kontormøbler - 2021'!$H$3:$H$55,'Utregning av grafer'!$A68,'Database kontormøbler - 2021'!$AG$3:$AG$55,1)</f>
        <v>40000000</v>
      </c>
      <c r="M68" s="108">
        <f>SUMIFS('Database kontormøbler - 2021'!$N$3:$N$55,'Database kontormøbler - 2021'!$H$3:$H$55,'Utregning av grafer'!$A68,'Database kontormøbler - 2021'!$AG$3:$AG$55,0)</f>
        <v>2550000</v>
      </c>
      <c r="N68" s="108">
        <f>SUM(L68:M68)</f>
        <v>42550000</v>
      </c>
      <c r="P68" s="109">
        <f t="shared" si="39"/>
        <v>0.9400705052878966</v>
      </c>
      <c r="Q68" s="93"/>
    </row>
    <row r="69" spans="1:19" x14ac:dyDescent="0.25">
      <c r="A69" s="3" t="s">
        <v>562</v>
      </c>
      <c r="B69" s="3">
        <f>SUM(B66:B68)</f>
        <v>22</v>
      </c>
      <c r="C69" s="3">
        <f>SUM(C66:C68)</f>
        <v>31</v>
      </c>
      <c r="D69" s="3">
        <f>SUM(B69:C69)</f>
        <v>53</v>
      </c>
      <c r="L69" s="108">
        <f>SUM(L66:L68)</f>
        <v>488599000</v>
      </c>
      <c r="M69" s="108">
        <f>SUM(M66:M68)</f>
        <v>473360000</v>
      </c>
      <c r="N69" s="108">
        <f>SUM(N66:N68)</f>
        <v>961959000</v>
      </c>
    </row>
    <row r="73" spans="1:19" ht="30" x14ac:dyDescent="0.25">
      <c r="A73" s="102" t="s">
        <v>610</v>
      </c>
      <c r="B73" s="3" t="s">
        <v>572</v>
      </c>
      <c r="C73" s="3" t="s">
        <v>573</v>
      </c>
      <c r="D73" s="3" t="s">
        <v>562</v>
      </c>
      <c r="F73" s="3" t="s">
        <v>7</v>
      </c>
      <c r="G73" s="3" t="s">
        <v>563</v>
      </c>
      <c r="I73" s="143" t="s">
        <v>568</v>
      </c>
      <c r="J73" s="143"/>
      <c r="L73" s="3" t="s">
        <v>572</v>
      </c>
      <c r="M73" s="3" t="s">
        <v>573</v>
      </c>
      <c r="N73" s="3" t="s">
        <v>562</v>
      </c>
      <c r="P73" s="5" t="s">
        <v>611</v>
      </c>
      <c r="Q73" s="34"/>
      <c r="R73" s="143" t="s">
        <v>570</v>
      </c>
      <c r="S73" s="143"/>
    </row>
    <row r="74" spans="1:19" ht="75" x14ac:dyDescent="0.25">
      <c r="A74" s="3" t="s">
        <v>80</v>
      </c>
      <c r="B74" s="3">
        <f>COUNTIFS('Database kontormøbler - 2021'!$H$3:$H$55,'Utregning av grafer'!$A50,'Database kontormøbler - 2021'!$AH$3:$AH$55,1)+COUNTIFS('Database kontormøbler - 2021'!$H$3:$H$55,"Universitet/Høyskole",'Database kontormøbler - 2021'!$AH$3:$AH$55,1)</f>
        <v>10</v>
      </c>
      <c r="C74" s="3">
        <f>COUNTIFS('Database kontormøbler - 2021'!$H$3:$H$55,'Utregning av grafer'!$A50,'Database kontormøbler - 2021'!$AH$3:$AH$55,0)+COUNTIFS('Database kontormøbler - 2021'!$H$3:$H$55,"Universitet/Høyskole",'Database kontormøbler - 2021'!$AH$3:$AH$55,0)</f>
        <v>16</v>
      </c>
      <c r="D74" s="3">
        <f>SUM(B74:C74)</f>
        <v>26</v>
      </c>
      <c r="F74" s="3" t="s">
        <v>80</v>
      </c>
      <c r="G74" s="105">
        <f>B74/D74</f>
        <v>0.38461538461538464</v>
      </c>
      <c r="I74" s="5" t="s">
        <v>612</v>
      </c>
      <c r="J74" s="5" t="s">
        <v>613</v>
      </c>
      <c r="L74" s="108">
        <f>SUMIFS('Database kontormøbler - 2021'!$N$3:$N$55,'Database kontormøbler - 2021'!$H$3:$H$55,'Utregning av grafer'!$A74,'Database kontormøbler - 2021'!$AH$3:$AH$55,1)+SUMIFS('Database kontormøbler - 2021'!$N$3:$N$55,'Database kontormøbler - 2021'!$H$3:$H$55,"Universitet/Høyskole",'Database kontormøbler - 2021'!$AH$3:$AH$55,1)</f>
        <v>610500000</v>
      </c>
      <c r="M74" s="108">
        <f>SUMIFS('Database kontormøbler - 2021'!$N$3:$N$55,'Database kontormøbler - 2021'!$H$3:$H$55,'Utregning av grafer'!$A74,'Database kontormøbler - 2021'!$AH$3:$AH$55,0)+SUMIFS('Database kontormøbler - 2021'!$N$3:$N$55,'Database kontormøbler - 2021'!$H$3:$H$55,"Universitet/Høyskole",'Database kontormøbler - 2021'!$AH$3:$AH$55,0)</f>
        <v>95409000</v>
      </c>
      <c r="N74" s="108">
        <f>SUM(L74:M74)</f>
        <v>705909000</v>
      </c>
      <c r="P74" s="109">
        <f>L74/N74</f>
        <v>0.86484235220120442</v>
      </c>
      <c r="Q74" s="93"/>
      <c r="R74" s="5" t="s">
        <v>614</v>
      </c>
      <c r="S74" s="5" t="s">
        <v>613</v>
      </c>
    </row>
    <row r="75" spans="1:19" x14ac:dyDescent="0.25">
      <c r="A75" s="3" t="s">
        <v>99</v>
      </c>
      <c r="B75" s="3">
        <f>COUNTIFS('Database kontormøbler - 2021'!$H$3:$H$55,'Utregning av grafer'!$A51,'Database kontormøbler - 2021'!$AH$3:$AH$55,1)</f>
        <v>12</v>
      </c>
      <c r="C75" s="3">
        <f>COUNTIFS('Database kontormøbler - 2021'!$H$3:$H$55,'Utregning av grafer'!$A51,'Database kontormøbler - 2021'!$AH$3:$AH$55,0)</f>
        <v>12</v>
      </c>
      <c r="D75" s="3">
        <f>SUM(B75:C75)</f>
        <v>24</v>
      </c>
      <c r="F75" s="3" t="s">
        <v>99</v>
      </c>
      <c r="G75" s="105">
        <f t="shared" ref="G75:G76" si="40">B75/D75</f>
        <v>0.5</v>
      </c>
      <c r="I75" s="105">
        <f>B77/D77</f>
        <v>0.41509433962264153</v>
      </c>
      <c r="J75" s="105">
        <f>1-I75</f>
        <v>0.58490566037735847</v>
      </c>
      <c r="L75" s="108">
        <f>SUMIFS('Database kontormøbler - 2021'!$N$3:$N$55,'Database kontormøbler - 2021'!$H$3:$H$55,'Utregning av grafer'!$A75,'Database kontormøbler - 2021'!$AH$3:$AH$55,1)</f>
        <v>150300000</v>
      </c>
      <c r="M75" s="108">
        <f>SUMIFS('Database kontormøbler - 2021'!$N$3:$N$55,'Database kontormøbler - 2021'!$H$3:$H$55,'Utregning av grafer'!$A75,'Database kontormøbler - 2021'!$AH$3:$AH$55,0)</f>
        <v>63200000</v>
      </c>
      <c r="N75" s="108">
        <f>SUM(L75:M75)</f>
        <v>213500000</v>
      </c>
      <c r="P75" s="109">
        <f t="shared" ref="P75:P76" si="41">L75/N75</f>
        <v>0.70398126463700239</v>
      </c>
      <c r="Q75" s="93"/>
      <c r="R75" s="105">
        <f>SUM(L74:L76)/N77</f>
        <v>0.79088609805615417</v>
      </c>
      <c r="S75" s="105">
        <f>1-R75</f>
        <v>0.20911390194384583</v>
      </c>
    </row>
    <row r="76" spans="1:19" x14ac:dyDescent="0.25">
      <c r="A76" s="3" t="s">
        <v>130</v>
      </c>
      <c r="B76" s="3">
        <f>COUNTIFS('Database kontormøbler - 2021'!$H$3:$H$55,'Utregning av grafer'!$A52,'Database kontormøbler - 2021'!$AH$3:$AH$55,1)</f>
        <v>0</v>
      </c>
      <c r="C76" s="3">
        <f>COUNTIFS('Database kontormøbler - 2021'!$H$3:$H$55,'Utregning av grafer'!$A52,'Database kontormøbler - 2021'!$AH$3:$AH$55,0)</f>
        <v>3</v>
      </c>
      <c r="D76" s="3">
        <f t="shared" ref="D76" si="42">SUM(B76:C76)</f>
        <v>3</v>
      </c>
      <c r="F76" s="3" t="s">
        <v>130</v>
      </c>
      <c r="G76" s="105">
        <f t="shared" si="40"/>
        <v>0</v>
      </c>
      <c r="L76" s="108">
        <f>SUMIFS('Database kontormøbler - 2021'!$N$3:$N$55,'Database kontormøbler - 2021'!$H$3:$H$55,'Utregning av grafer'!$A76,'Database kontormøbler - 2021'!$AH$3:$AH$55,1)</f>
        <v>0</v>
      </c>
      <c r="M76" s="108">
        <f>SUMIFS('Database kontormøbler - 2021'!$N$3:$N$55,'Database kontormøbler - 2021'!$H$3:$H$55,'Utregning av grafer'!$A76,'Database kontormøbler - 2021'!$AH$3:$AH$55,0)</f>
        <v>42550000</v>
      </c>
      <c r="N76" s="108">
        <f>SUM(L76:M76)</f>
        <v>42550000</v>
      </c>
      <c r="P76" s="109">
        <f t="shared" si="41"/>
        <v>0</v>
      </c>
      <c r="Q76" s="93"/>
    </row>
    <row r="77" spans="1:19" x14ac:dyDescent="0.25">
      <c r="A77" s="3" t="s">
        <v>562</v>
      </c>
      <c r="B77" s="3">
        <f>SUM(B74:B76)</f>
        <v>22</v>
      </c>
      <c r="C77" s="3">
        <f>SUM(C74:C76)</f>
        <v>31</v>
      </c>
      <c r="D77" s="3">
        <f>SUM(B77:C77)</f>
        <v>53</v>
      </c>
      <c r="L77" s="108">
        <f>SUM(L74:L76)</f>
        <v>760800000</v>
      </c>
      <c r="M77" s="108">
        <f>SUM(M74:M76)</f>
        <v>201159000</v>
      </c>
      <c r="N77" s="108">
        <f>SUM(N74:N76)</f>
        <v>961959000</v>
      </c>
    </row>
    <row r="81" spans="1:19" ht="29.1" customHeight="1" x14ac:dyDescent="0.25">
      <c r="A81" s="102" t="s">
        <v>615</v>
      </c>
      <c r="B81" s="3" t="s">
        <v>572</v>
      </c>
      <c r="C81" s="3" t="s">
        <v>573</v>
      </c>
      <c r="D81" s="3" t="s">
        <v>562</v>
      </c>
      <c r="F81" s="3" t="s">
        <v>7</v>
      </c>
      <c r="G81" s="3" t="s">
        <v>563</v>
      </c>
      <c r="I81" s="143" t="s">
        <v>568</v>
      </c>
      <c r="J81" s="143"/>
      <c r="L81" s="3" t="s">
        <v>572</v>
      </c>
      <c r="M81" s="3" t="s">
        <v>573</v>
      </c>
      <c r="N81" s="3" t="s">
        <v>562</v>
      </c>
      <c r="P81" s="5" t="s">
        <v>616</v>
      </c>
      <c r="Q81" s="34"/>
      <c r="R81" s="143" t="s">
        <v>570</v>
      </c>
      <c r="S81" s="143"/>
    </row>
    <row r="82" spans="1:19" ht="60" x14ac:dyDescent="0.25">
      <c r="A82" s="3" t="s">
        <v>80</v>
      </c>
      <c r="B82" s="3">
        <f>COUNTIFS('Database kontormøbler - 2021'!$H$3:$H$55,'Utregning av grafer'!$A58,'Database kontormøbler - 2021'!$AI$3:$AI$55,1)+COUNTIFS('Database kontormøbler - 2021'!$H$3:$H$55,"Universitet/Høyskole",'Database kontormøbler - 2021'!$AI$3:$AI$55,1)+COUNTIFS('Database kontormøbler - 2021'!$H$3:$H$55,'Utregning av grafer'!$A58,'Database kontormøbler - 2021'!$AI$3:$AI$55,2)</f>
        <v>6</v>
      </c>
      <c r="C82" s="3">
        <f>COUNTIFS('Database kontormøbler - 2021'!$H$3:$H$55,'Utregning av grafer'!$A58,'Database kontormøbler - 2021'!$AI$3:$AI$55,0)+COUNTIFS('Database kontormøbler - 2021'!$H$3:$H$55,"Universitet/Høyskole",'Database kontormøbler - 2021'!$AI$3:$AI$55,0)</f>
        <v>20</v>
      </c>
      <c r="D82" s="3">
        <f>SUM(B82:C82)</f>
        <v>26</v>
      </c>
      <c r="F82" s="3" t="s">
        <v>80</v>
      </c>
      <c r="G82" s="105">
        <f>B82/D82</f>
        <v>0.23076923076923078</v>
      </c>
      <c r="I82" s="5" t="s">
        <v>617</v>
      </c>
      <c r="J82" s="5" t="s">
        <v>618</v>
      </c>
      <c r="L82" s="108">
        <f>SUMIFS('Database kontormøbler - 2021'!$N$3:$N$55,'Database kontormøbler - 2021'!$H$3:$H$55,'Utregning av grafer'!$A82,'Database kontormøbler - 2021'!$AI$3:$AI$55,1)+SUMIFS('Database kontormøbler - 2021'!$N$3:$N$55,'Database kontormøbler - 2021'!$H$3:$H$55,"Universitet/Høyskole",'Database kontormøbler - 2021'!$AI$3:$AI$55,1)</f>
        <v>152799000</v>
      </c>
      <c r="M82" s="108">
        <f>SUMIFS('Database kontormøbler - 2021'!$N$3:$N$55,'Database kontormøbler - 2021'!$H$3:$H$55,'Utregning av grafer'!$A82,'Database kontormøbler - 2021'!$AI$3:$AI$55,0)+SUMIFS('Database kontormøbler - 2021'!$N$3:$N$55,'Database kontormøbler - 2021'!$H$3:$H$55,"Universitet/Høyskole",'Database kontormøbler - 2021'!$AI$3:$AI$55,0)</f>
        <v>553110000</v>
      </c>
      <c r="N82" s="108">
        <f>SUM(L82:M82)</f>
        <v>705909000</v>
      </c>
      <c r="P82" s="109">
        <f>L82/N82</f>
        <v>0.21645707874527736</v>
      </c>
      <c r="Q82" s="93"/>
      <c r="R82" s="5" t="s">
        <v>619</v>
      </c>
      <c r="S82" s="5" t="s">
        <v>561</v>
      </c>
    </row>
    <row r="83" spans="1:19" x14ac:dyDescent="0.25">
      <c r="A83" s="3" t="s">
        <v>99</v>
      </c>
      <c r="B83" s="3">
        <f>COUNTIFS('Database kontormøbler - 2021'!$H$3:$H$55,'Utregning av grafer'!$A59,'Database kontormøbler - 2021'!$AI$3:$AI$55,1)+COUNTIFS('Database kontormøbler - 2021'!$H$3:$H$55,'Utregning av grafer'!$A59,'Database kontormøbler - 2021'!$AI$3:$AI$55,2)</f>
        <v>8</v>
      </c>
      <c r="C83" s="3">
        <f>COUNTIFS('Database kontormøbler - 2021'!$H$3:$H$55,'Utregning av grafer'!$A59,'Database kontormøbler - 2021'!$AI$3:$AI$55,0)</f>
        <v>16</v>
      </c>
      <c r="D83" s="3">
        <f>SUM(B83:C83)</f>
        <v>24</v>
      </c>
      <c r="F83" s="3" t="s">
        <v>99</v>
      </c>
      <c r="G83" s="105">
        <f t="shared" ref="G83:G84" si="43">B83/D83</f>
        <v>0.33333333333333331</v>
      </c>
      <c r="I83" s="105">
        <f>B85/D85</f>
        <v>0.26415094339622641</v>
      </c>
      <c r="J83" s="105">
        <f>1-I83</f>
        <v>0.73584905660377364</v>
      </c>
      <c r="L83" s="108">
        <f>SUMIFS('Database kontormøbler - 2021'!$N$3:$N$55,'Database kontormøbler - 2021'!$H$3:$H$55,'Utregning av grafer'!$A83,'Database kontormøbler - 2021'!$AI$3:$AI$55,1)</f>
        <v>112000000</v>
      </c>
      <c r="M83" s="108">
        <f>SUMIFS('Database kontormøbler - 2021'!$N$3:$N$55,'Database kontormøbler - 2021'!$H$3:$H$55,'Utregning av grafer'!$A83,'Database kontormøbler - 2021'!$AI$3:$AI$55,0)</f>
        <v>91500000</v>
      </c>
      <c r="N83" s="108">
        <f>SUM(L83:M83)</f>
        <v>203500000</v>
      </c>
      <c r="P83" s="109">
        <f t="shared" ref="P83:P84" si="44">L83/N83</f>
        <v>0.55036855036855037</v>
      </c>
      <c r="Q83" s="93"/>
      <c r="R83" s="105">
        <f>SUM(L82:L84)/N85</f>
        <v>0.27816218975817236</v>
      </c>
      <c r="S83" s="105">
        <f>1-R83</f>
        <v>0.72183781024182769</v>
      </c>
    </row>
    <row r="84" spans="1:19" x14ac:dyDescent="0.25">
      <c r="A84" s="3" t="s">
        <v>130</v>
      </c>
      <c r="B84" s="3">
        <f>COUNTIFS('Database kontormøbler - 2021'!$H$3:$H$55,'Utregning av grafer'!$A60,'Database kontormøbler - 2021'!$AI$3:$AI$55,1)+COUNTIFS('Database kontormøbler - 2021'!$H$3:$H$55,'Utregning av grafer'!$A60,'Database kontormøbler - 2021'!$AI$3:$AI$55,2)</f>
        <v>0</v>
      </c>
      <c r="C84" s="3">
        <f>COUNTIFS('Database kontormøbler - 2021'!$H$3:$H$55,'Utregning av grafer'!$A60,'Database kontormøbler - 2021'!$AI$3:$AI$55,0)</f>
        <v>3</v>
      </c>
      <c r="D84" s="3">
        <f t="shared" ref="D84" si="45">SUM(B84:C84)</f>
        <v>3</v>
      </c>
      <c r="F84" s="3" t="s">
        <v>130</v>
      </c>
      <c r="G84" s="105">
        <f t="shared" si="43"/>
        <v>0</v>
      </c>
      <c r="L84" s="108">
        <f>SUMIFS('Database kontormøbler - 2021'!$N$3:$N$55,'Database kontormøbler - 2021'!$H$3:$H$55,'Utregning av grafer'!$A84,'Database kontormøbler - 2021'!$AI$3:$AI$55,1)</f>
        <v>0</v>
      </c>
      <c r="M84" s="108">
        <f>SUMIFS('Database kontormøbler - 2021'!$N$3:$N$55,'Database kontormøbler - 2021'!$H$3:$H$55,'Utregning av grafer'!$A84,'Database kontormøbler - 2021'!$AI$3:$AI$55,0)</f>
        <v>42550000</v>
      </c>
      <c r="N84" s="108">
        <f>SUM(L84:M84)</f>
        <v>42550000</v>
      </c>
      <c r="P84" s="109">
        <f t="shared" si="44"/>
        <v>0</v>
      </c>
      <c r="Q84" s="93"/>
    </row>
    <row r="85" spans="1:19" x14ac:dyDescent="0.25">
      <c r="A85" s="3" t="s">
        <v>562</v>
      </c>
      <c r="B85" s="3">
        <f>SUM(B82:B84)</f>
        <v>14</v>
      </c>
      <c r="C85" s="3">
        <f>SUM(C82:C84)</f>
        <v>39</v>
      </c>
      <c r="D85" s="3">
        <f>SUM(B85:C85)</f>
        <v>53</v>
      </c>
      <c r="L85" s="108">
        <f>SUM(L82:L84)</f>
        <v>264799000</v>
      </c>
      <c r="M85" s="108">
        <f>SUM(M82:M84)</f>
        <v>687160000</v>
      </c>
      <c r="N85" s="108">
        <f>SUM(N82:N84)</f>
        <v>951959000</v>
      </c>
    </row>
    <row r="89" spans="1:19" ht="34.5" customHeight="1" x14ac:dyDescent="0.25">
      <c r="A89" s="102" t="s">
        <v>620</v>
      </c>
      <c r="B89" s="3" t="s">
        <v>572</v>
      </c>
      <c r="C89" s="3" t="s">
        <v>573</v>
      </c>
      <c r="D89" s="3" t="s">
        <v>562</v>
      </c>
      <c r="F89" s="3" t="s">
        <v>7</v>
      </c>
      <c r="G89" s="3" t="s">
        <v>563</v>
      </c>
      <c r="I89" s="143" t="s">
        <v>568</v>
      </c>
      <c r="J89" s="143"/>
      <c r="L89" s="3" t="s">
        <v>572</v>
      </c>
      <c r="M89" s="3" t="s">
        <v>573</v>
      </c>
      <c r="N89" s="3" t="s">
        <v>562</v>
      </c>
      <c r="P89" s="5" t="s">
        <v>616</v>
      </c>
      <c r="Q89" s="34"/>
      <c r="R89" s="145" t="s">
        <v>570</v>
      </c>
      <c r="S89" s="146"/>
    </row>
    <row r="90" spans="1:19" ht="60" x14ac:dyDescent="0.25">
      <c r="A90" s="3" t="s">
        <v>80</v>
      </c>
      <c r="B90" s="3">
        <f>COUNTIFS('Database kontormøbler - 2021'!$H$3:$H$55,'Utregning av grafer'!$A66,'Database kontormøbler - 2021'!$AJ$3:$AJ$55,1)+COUNTIFS('Database kontormøbler - 2021'!$H$3:$H$55,"Universitet/Høyskole",'Database kontormøbler - 2021'!$AJ$3:$AJ$55,1)+COUNTIFS('Database kontormøbler - 2021'!$H$3:$H$55,'Utregning av grafer'!$A66,'Database kontormøbler - 2021'!$AJ$3:$AJ$55,2)</f>
        <v>18</v>
      </c>
      <c r="C90" s="3">
        <f>COUNTIFS('Database kontormøbler - 2021'!$H$3:$H$55,'Utregning av grafer'!$A66,'Database kontormøbler - 2021'!$AJ$3:$AJ$55,0)+COUNTIFS('Database kontormøbler - 2021'!$H$3:$H$55,"Universitet/Høyskole",'Database kontormøbler - 2021'!$AJ$3:$AJ$55,0)</f>
        <v>8</v>
      </c>
      <c r="D90" s="3">
        <f>SUM(B90:C90)</f>
        <v>26</v>
      </c>
      <c r="F90" s="3" t="s">
        <v>80</v>
      </c>
      <c r="G90" s="105">
        <f>B90/D90</f>
        <v>0.69230769230769229</v>
      </c>
      <c r="I90" s="5" t="s">
        <v>621</v>
      </c>
      <c r="J90" s="5" t="s">
        <v>622</v>
      </c>
      <c r="L90" s="108">
        <f>SUMIFS('Database kontormøbler - 2021'!$N$3:$N$55,'Database kontormøbler - 2021'!$H$3:$H$55,'Utregning av grafer'!$A90,'Database kontormøbler - 2021'!$AJ$3:$AJ$55,1)+SUMIFS('Database kontormøbler - 2021'!$N$3:$N$55,'Database kontormøbler - 2021'!$H$3:$H$55,"Universitet/Høyskole",'Database kontormøbler - 2021'!$AJ$3:$AJ$55,1)</f>
        <v>681799000</v>
      </c>
      <c r="M90" s="108">
        <f>SUMIFS('Database kontormøbler - 2021'!$N$3:$N$55,'Database kontormøbler - 2021'!$H$3:$H$55,'Utregning av grafer'!$A90,'Database kontormøbler - 2021'!$AJ$3:$AJ$55,0)+SUMIFS('Database kontormøbler - 2021'!$N$3:$N$55,'Database kontormøbler - 2021'!$H$3:$H$55,"Universitet/Høyskole",'Database kontormøbler - 2021'!$AJ$3:$AJ$55,0)</f>
        <v>24110000</v>
      </c>
      <c r="N90" s="108">
        <f>SUM(L90:M90)</f>
        <v>705909000</v>
      </c>
      <c r="P90" s="109">
        <f>L90/$N$77</f>
        <v>0.70876097629940571</v>
      </c>
      <c r="Q90" s="93"/>
      <c r="R90" s="5" t="s">
        <v>619</v>
      </c>
      <c r="S90" s="5" t="s">
        <v>561</v>
      </c>
    </row>
    <row r="91" spans="1:19" x14ac:dyDescent="0.25">
      <c r="A91" s="3" t="s">
        <v>99</v>
      </c>
      <c r="B91" s="3">
        <f>COUNTIFS('Database kontormøbler - 2021'!$H$3:$H$55,'Utregning av grafer'!$A67,'Database kontormøbler - 2021'!$AJ$3:$AJ$55,1)+COUNTIFS('Database kontormøbler - 2021'!$H$3:$H$55,'Utregning av grafer'!$A66,'Database kontormøbler - 2021'!$AJ$3:$AJ$55,2)</f>
        <v>11</v>
      </c>
      <c r="C91" s="3">
        <f>COUNTIFS('Database kontormøbler - 2021'!$H$3:$H$55,'Utregning av grafer'!$A67,'Database kontormøbler - 2021'!$AJ$3:$AJ$55,0)</f>
        <v>9</v>
      </c>
      <c r="D91" s="3">
        <f>SUM(B91:C91)</f>
        <v>20</v>
      </c>
      <c r="F91" s="3" t="s">
        <v>99</v>
      </c>
      <c r="G91" s="105">
        <f t="shared" ref="G91" si="46">B91/D91</f>
        <v>0.55000000000000004</v>
      </c>
      <c r="I91" s="105">
        <f>B93/D93</f>
        <v>0.64150943396226412</v>
      </c>
      <c r="J91" s="105">
        <f>1-I91</f>
        <v>0.35849056603773588</v>
      </c>
      <c r="L91" s="108">
        <f>SUMIFS('Database kontormøbler - 2021'!$N$3:$N$55,'Database kontormøbler - 2021'!$H$3:$H$55,'Utregning av grafer'!$A91,'Database kontormøbler - 2021'!$AJ$3:$AJ$55,1)</f>
        <v>92500000</v>
      </c>
      <c r="M91" s="108">
        <f>SUMIFS('Database kontormøbler - 2021'!$N$3:$N$55,'Database kontormøbler - 2021'!$H$3:$H$55,'Utregning av grafer'!$A91,'Database kontormøbler - 2021'!$AJ$3:$AJ$55,0)</f>
        <v>26000000</v>
      </c>
      <c r="N91" s="108">
        <f>SUM(L91:M91)</f>
        <v>118500000</v>
      </c>
      <c r="P91" s="109">
        <f>L91/$N$77</f>
        <v>9.615794436145407E-2</v>
      </c>
      <c r="Q91" s="93"/>
      <c r="R91" s="105">
        <f>SUM(L90:L92)/N93</f>
        <v>0.9392589499618782</v>
      </c>
      <c r="S91" s="105">
        <f>1-R91</f>
        <v>6.0741050038121802E-2</v>
      </c>
    </row>
    <row r="92" spans="1:19" x14ac:dyDescent="0.25">
      <c r="A92" s="3" t="s">
        <v>130</v>
      </c>
      <c r="B92" s="3">
        <f>COUNTIFS('Database kontormøbler - 2021'!$H$3:$H$55,'Utregning av grafer'!$A68,'Database kontormøbler - 2021'!$AJ$3:$AJ$55,1)+COUNTIFS('Database kontormøbler - 2021'!$H$3:$H$55,'Utregning av grafer'!$A67,'Database kontormøbler - 2021'!$AJ$3:$AJ$55,2)</f>
        <v>5</v>
      </c>
      <c r="C92" s="3">
        <f>COUNTIFS('Database kontormøbler - 2021'!$H$3:$H$55,'Utregning av grafer'!$A68,'Database kontormøbler - 2021'!$AJ$3:$AJ$55,0)</f>
        <v>2</v>
      </c>
      <c r="D92" s="3">
        <f t="shared" ref="D92" si="47">SUM(B92:C92)</f>
        <v>7</v>
      </c>
      <c r="F92" s="3" t="s">
        <v>130</v>
      </c>
      <c r="G92" s="105">
        <f>B92/D92</f>
        <v>0.7142857142857143</v>
      </c>
      <c r="L92" s="108">
        <f>SUMIFS('Database kontormøbler - 2021'!$N$3:$N$55,'Database kontormøbler - 2021'!$H$3:$H$55,'Utregning av grafer'!$A92,'Database kontormøbler - 2021'!$AJ$3:$AJ$55,1)</f>
        <v>40000000</v>
      </c>
      <c r="M92" s="108">
        <f>SUMIFS('Database kontormøbler - 2021'!$N$3:$N$55,'Database kontormøbler - 2021'!$H$3:$H$55,'Utregning av grafer'!$A92,'Database kontormøbler - 2021'!$AJ$3:$AJ$55,0)</f>
        <v>2550000</v>
      </c>
      <c r="N92" s="108">
        <f>SUM(L92:M92)</f>
        <v>42550000</v>
      </c>
      <c r="P92" s="109">
        <f>L92/$N$77</f>
        <v>4.1581813777926087E-2</v>
      </c>
      <c r="Q92" s="93"/>
    </row>
    <row r="93" spans="1:19" x14ac:dyDescent="0.25">
      <c r="A93" s="3" t="s">
        <v>562</v>
      </c>
      <c r="B93" s="3">
        <f>SUM(B90:B92)</f>
        <v>34</v>
      </c>
      <c r="C93" s="3">
        <f>SUM(C90:C92)</f>
        <v>19</v>
      </c>
      <c r="D93" s="3">
        <f>SUM(B93:C93)</f>
        <v>53</v>
      </c>
      <c r="L93" s="108">
        <f>SUM(L90:L92)</f>
        <v>814299000</v>
      </c>
      <c r="M93" s="108">
        <f>SUM(M90:M92)</f>
        <v>52660000</v>
      </c>
      <c r="N93" s="108">
        <f>SUM(N90:N92)</f>
        <v>866959000</v>
      </c>
    </row>
    <row r="95" spans="1:19" x14ac:dyDescent="0.25">
      <c r="O95" s="6"/>
    </row>
    <row r="97" spans="1:13" ht="53.25" customHeight="1" x14ac:dyDescent="0.25">
      <c r="A97" s="62" t="s">
        <v>623</v>
      </c>
      <c r="F97" s="3" t="s">
        <v>624</v>
      </c>
      <c r="G97" s="3"/>
      <c r="H97" s="3"/>
    </row>
    <row r="98" spans="1:13" ht="96.6" customHeight="1" x14ac:dyDescent="0.25">
      <c r="A98" s="5" t="s">
        <v>625</v>
      </c>
      <c r="B98" s="5" t="s">
        <v>626</v>
      </c>
      <c r="C98" s="3" t="s">
        <v>627</v>
      </c>
      <c r="E98" s="3"/>
      <c r="F98" s="5" t="s">
        <v>628</v>
      </c>
      <c r="G98" s="5" t="s">
        <v>546</v>
      </c>
      <c r="H98" s="5" t="s">
        <v>547</v>
      </c>
      <c r="I98" s="5" t="s">
        <v>40</v>
      </c>
      <c r="J98" s="5" t="s">
        <v>45</v>
      </c>
      <c r="K98" s="5" t="s">
        <v>549</v>
      </c>
      <c r="L98" s="5" t="s">
        <v>629</v>
      </c>
      <c r="M98" s="5" t="s">
        <v>630</v>
      </c>
    </row>
    <row r="99" spans="1:13" x14ac:dyDescent="0.25">
      <c r="A99" s="3">
        <f>COUNTIF('Database kontormøbler - 2021'!$CC$3:$CC$55,1)</f>
        <v>46</v>
      </c>
      <c r="B99" s="3">
        <f>COUNTIF('Database kontormøbler - 2021'!$CC$3:$CC$55,0)</f>
        <v>7</v>
      </c>
      <c r="C99" s="3">
        <f>+A99+B99</f>
        <v>53</v>
      </c>
      <c r="E99" s="3" t="s">
        <v>572</v>
      </c>
      <c r="F99" s="3">
        <f>COUNTIF('Database kontormøbler - 2021'!AK3:AK55,1)+COUNTIF('Database kontormøbler - 2021'!AK3:AK55,2)</f>
        <v>33</v>
      </c>
      <c r="G99" s="3">
        <f>COUNTIF('Database kontormøbler - 2021'!AL3:AL55,1)+COUNTIF('Database kontormøbler - 2021'!AL3:AL55,2)</f>
        <v>43</v>
      </c>
      <c r="H99" s="3">
        <f>COUNTIF('Database kontormøbler - 2021'!AO3:AO55,1)+COUNTIF('Database kontormøbler - 2021'!AO3:AO55,2)</f>
        <v>38</v>
      </c>
      <c r="I99" s="3">
        <f>COUNTIF('Database kontormøbler - 2021'!AP3:AP55,1)+COUNTIF('Database kontormøbler - 2021'!AP3:AP55,2)</f>
        <v>10</v>
      </c>
      <c r="J99" s="3">
        <f>COUNTIF('Database kontormøbler - 2021'!AU3:AU55,1)+COUNTIF('Database kontormøbler - 2021'!AU3:AU55,2)</f>
        <v>1</v>
      </c>
      <c r="K99" s="3">
        <f>COUNTIF('Database kontormøbler - 2021'!AW3:AW55,1)+COUNTIF('Database kontormøbler - 2021'!AW3:AW55,2)</f>
        <v>27</v>
      </c>
      <c r="L99" s="3">
        <f>COUNTIF('Database kontormøbler - 2021'!AX3:AX55,1)+COUNTIF('Database kontormøbler - 2021'!AX3:AX55,2)</f>
        <v>3</v>
      </c>
      <c r="M99" s="3">
        <f>COUNTIF('Database kontormøbler - 2021'!AY3:AY55,1)+COUNTIF('Database kontormøbler - 2021'!AY3:AY55,2)</f>
        <v>0</v>
      </c>
    </row>
    <row r="100" spans="1:13" ht="15.95" customHeight="1" x14ac:dyDescent="0.25">
      <c r="A100" s="111">
        <f>A$99/C99</f>
        <v>0.86792452830188682</v>
      </c>
      <c r="B100" s="111">
        <f>B$99/C99</f>
        <v>0.13207547169811321</v>
      </c>
      <c r="E100" s="3" t="s">
        <v>631</v>
      </c>
      <c r="F100" s="3">
        <f>$C$99-F$99</f>
        <v>20</v>
      </c>
      <c r="G100" s="3">
        <f>$C$99-G$99</f>
        <v>10</v>
      </c>
      <c r="H100" s="3">
        <f>$C$99-H$99</f>
        <v>15</v>
      </c>
      <c r="I100" s="3">
        <f t="shared" ref="I100" si="48">$C$99-I$99</f>
        <v>43</v>
      </c>
      <c r="J100" s="3">
        <f>$C$99-J$99</f>
        <v>52</v>
      </c>
      <c r="K100" s="3">
        <f>$C$99-K$99</f>
        <v>26</v>
      </c>
      <c r="L100" s="3">
        <f>$C$99-L$99</f>
        <v>50</v>
      </c>
      <c r="M100" s="3">
        <f>$C$99-M$99</f>
        <v>53</v>
      </c>
    </row>
    <row r="101" spans="1:13" ht="51" customHeight="1" x14ac:dyDescent="0.25">
      <c r="E101" s="5" t="s">
        <v>632</v>
      </c>
      <c r="F101" s="111">
        <f>F$99/$C$99</f>
        <v>0.62264150943396224</v>
      </c>
      <c r="G101" s="111">
        <f>G$99/$C$99</f>
        <v>0.81132075471698117</v>
      </c>
      <c r="H101" s="111">
        <f>H$99/$C$99</f>
        <v>0.71698113207547165</v>
      </c>
      <c r="I101" s="111">
        <f t="shared" ref="I101:J101" si="49">I$99/$C$99</f>
        <v>0.18867924528301888</v>
      </c>
      <c r="J101" s="111">
        <f t="shared" si="49"/>
        <v>1.8867924528301886E-2</v>
      </c>
      <c r="K101" s="111">
        <f>K$99/$C$99</f>
        <v>0.50943396226415094</v>
      </c>
      <c r="L101" s="111">
        <f>L$99/$C$99</f>
        <v>5.6603773584905662E-2</v>
      </c>
      <c r="M101" s="111">
        <f>M$99/$C$99</f>
        <v>0</v>
      </c>
    </row>
    <row r="102" spans="1:13" x14ac:dyDescent="0.25">
      <c r="E102" s="3"/>
      <c r="F102" s="3">
        <f>_xlfn.RANK.EQ(F101,$F$101:$M$101)</f>
        <v>3</v>
      </c>
      <c r="G102" s="3">
        <f t="shared" ref="G102:M102" si="50">_xlfn.RANK.EQ(G101,$F$101:$M$101)</f>
        <v>1</v>
      </c>
      <c r="H102" s="3">
        <f t="shared" si="50"/>
        <v>2</v>
      </c>
      <c r="I102" s="3">
        <f t="shared" si="50"/>
        <v>5</v>
      </c>
      <c r="J102" s="3">
        <f t="shared" si="50"/>
        <v>7</v>
      </c>
      <c r="K102" s="3">
        <f t="shared" si="50"/>
        <v>4</v>
      </c>
      <c r="L102" s="3">
        <f t="shared" si="50"/>
        <v>6</v>
      </c>
      <c r="M102" s="3">
        <f t="shared" si="50"/>
        <v>8</v>
      </c>
    </row>
    <row r="104" spans="1:13" x14ac:dyDescent="0.25">
      <c r="E104" s="3"/>
      <c r="F104" s="3">
        <v>1</v>
      </c>
      <c r="G104" s="3">
        <v>2</v>
      </c>
      <c r="H104" s="3">
        <v>3</v>
      </c>
      <c r="I104" s="3">
        <v>4</v>
      </c>
      <c r="J104" s="3">
        <v>5</v>
      </c>
      <c r="K104" s="3">
        <v>6</v>
      </c>
      <c r="L104" s="3">
        <v>7</v>
      </c>
      <c r="M104" s="3">
        <v>8</v>
      </c>
    </row>
    <row r="105" spans="1:13" ht="87" customHeight="1" x14ac:dyDescent="0.25">
      <c r="E105" s="3"/>
      <c r="F105" s="5" t="str">
        <f>_xlfn.XLOOKUP(F104,$F$102:$M$102,$F$98:$M$98)</f>
        <v>Robuste møbeltekstiler</v>
      </c>
      <c r="G105" s="5" t="str">
        <f t="shared" ref="G105:L105" si="51">_xlfn.XLOOKUP(G104,$F$102:$M$102,$F$98:$M$98)</f>
        <v>Produktinformasjon om demontering, reparasjon og tilgang på reservedeler</v>
      </c>
      <c r="H105" s="5" t="str">
        <f t="shared" si="51"/>
        <v>Krav til kvalitet (EN standarder/Norsk møbelfakta)</v>
      </c>
      <c r="I105" s="5" t="str">
        <f t="shared" si="51"/>
        <v>Enkel rengjøring av møbler</v>
      </c>
      <c r="J105" s="5" t="str">
        <f t="shared" si="51"/>
        <v>Merking av plast</v>
      </c>
      <c r="K105" s="5" t="str">
        <f t="shared" si="51"/>
        <v>Bruk av resirkulert materiale</v>
      </c>
      <c r="L105" s="5" t="str">
        <f t="shared" si="51"/>
        <v>TCO/ LCC (Livssyklus kostnader)</v>
      </c>
      <c r="M105" s="5" t="str">
        <f>_xlfn.XLOOKUP(M104,$F$102:$M$102,$F$98:$M$98)</f>
        <v>Skal kunne materialgjenvinnes/ resirkuleres, eller at de ber om en tjeneste om at leverandøren gjør det</v>
      </c>
    </row>
    <row r="106" spans="1:13" ht="45" x14ac:dyDescent="0.25">
      <c r="E106" s="5" t="s">
        <v>632</v>
      </c>
      <c r="F106" s="111">
        <f>_xlfn.XLOOKUP(F104,$F$102:$M$102,$F$101:$M$101)</f>
        <v>0.81132075471698117</v>
      </c>
      <c r="G106" s="111">
        <f t="shared" ref="G106:L106" si="52">_xlfn.XLOOKUP(G104,$F$102:$M$102,$F$101:$M$101)</f>
        <v>0.71698113207547165</v>
      </c>
      <c r="H106" s="111">
        <f t="shared" si="52"/>
        <v>0.62264150943396224</v>
      </c>
      <c r="I106" s="111">
        <f t="shared" si="52"/>
        <v>0.50943396226415094</v>
      </c>
      <c r="J106" s="111">
        <f t="shared" si="52"/>
        <v>0.18867924528301888</v>
      </c>
      <c r="K106" s="111">
        <f t="shared" si="52"/>
        <v>5.6603773584905662E-2</v>
      </c>
      <c r="L106" s="111">
        <f t="shared" si="52"/>
        <v>1.8867924528301886E-2</v>
      </c>
      <c r="M106" s="111">
        <f>_xlfn.XLOOKUP(M104,$F$102:$M$102,$F$101:$M$101)</f>
        <v>0</v>
      </c>
    </row>
    <row r="110" spans="1:13" ht="45" x14ac:dyDescent="0.25">
      <c r="A110" s="62" t="s">
        <v>633</v>
      </c>
      <c r="F110" s="3" t="s">
        <v>624</v>
      </c>
      <c r="G110" s="3"/>
      <c r="H110" s="3"/>
    </row>
    <row r="111" spans="1:13" ht="60" x14ac:dyDescent="0.25">
      <c r="A111" s="5" t="s">
        <v>625</v>
      </c>
      <c r="B111" s="5" t="s">
        <v>626</v>
      </c>
      <c r="C111" s="3" t="s">
        <v>627</v>
      </c>
      <c r="E111" s="3"/>
      <c r="F111" s="5" t="s">
        <v>37</v>
      </c>
      <c r="G111" s="5" t="s">
        <v>38</v>
      </c>
      <c r="H111" s="5" t="s">
        <v>41</v>
      </c>
      <c r="I111" s="5" t="s">
        <v>42</v>
      </c>
      <c r="J111" s="5" t="s">
        <v>548</v>
      </c>
      <c r="K111" s="5" t="s">
        <v>44</v>
      </c>
      <c r="L111" s="34"/>
      <c r="M111" s="34"/>
    </row>
    <row r="112" spans="1:13" x14ac:dyDescent="0.25">
      <c r="A112" s="3">
        <f>COUNTIF('Database kontormøbler - 2021'!$CD$3:$CD$55,1)</f>
        <v>24</v>
      </c>
      <c r="B112" s="3">
        <f>COUNTIF('Database kontormøbler - 2021'!$CD$3:$CD$55,0)</f>
        <v>29</v>
      </c>
      <c r="C112" s="3">
        <f>+A112+B112</f>
        <v>53</v>
      </c>
      <c r="E112" s="3" t="s">
        <v>572</v>
      </c>
      <c r="F112" s="3">
        <f>COUNTIF('Database kontormøbler - 2021'!AM16:AM68,1)+COUNTIF('Database kontormøbler - 2021'!AM16:AM68,2)</f>
        <v>1</v>
      </c>
      <c r="G112" s="3">
        <f>COUNTIF('Database kontormøbler - 2021'!AN16:AN68,1)+COUNTIF('Database kontormøbler - 2021'!AN16:AN68,2)</f>
        <v>13</v>
      </c>
      <c r="H112" s="3">
        <f>COUNTIF('Database kontormøbler - 2021'!AQ16:AQ68,1)+COUNTIF('Database kontormøbler - 2021'!AQ16:AQ68,2)</f>
        <v>0</v>
      </c>
      <c r="I112" s="3">
        <f>COUNTIF('Database kontormøbler - 2021'!AR16:AR68,1)+COUNTIF('Database kontormøbler - 2021'!AR16:AR68,2)</f>
        <v>1</v>
      </c>
      <c r="J112" s="3">
        <f>COUNTIF('Database kontormøbler - 2021'!AS16:AS68,1)+COUNTIF('Database kontormøbler - 2021'!AS16:AS68,2)</f>
        <v>2</v>
      </c>
      <c r="K112" s="3">
        <f>COUNTIF('Database kontormøbler - 2021'!AT16:AT68,1)+COUNTIF('Database kontormøbler - 2021'!AT16:AT68,2)</f>
        <v>6</v>
      </c>
    </row>
    <row r="113" spans="1:17" x14ac:dyDescent="0.25">
      <c r="A113" s="111">
        <f>A$112/C112</f>
        <v>0.45283018867924529</v>
      </c>
      <c r="B113" s="111">
        <f>B$112/C112</f>
        <v>0.54716981132075471</v>
      </c>
      <c r="E113" s="3" t="s">
        <v>631</v>
      </c>
      <c r="F113" s="3">
        <f>$C$112-F$112</f>
        <v>52</v>
      </c>
      <c r="G113" s="3">
        <f>$C$112-G$112</f>
        <v>40</v>
      </c>
      <c r="H113" s="3">
        <f>$C$112-H$112</f>
        <v>53</v>
      </c>
      <c r="I113" s="3">
        <f t="shared" ref="I113:K113" si="53">$C$112-I$112</f>
        <v>52</v>
      </c>
      <c r="J113" s="3">
        <f>$C$112-J$112</f>
        <v>51</v>
      </c>
      <c r="K113" s="3">
        <f t="shared" si="53"/>
        <v>47</v>
      </c>
      <c r="N113" s="101"/>
      <c r="O113" s="101"/>
      <c r="P113" s="101"/>
      <c r="Q113" s="101"/>
    </row>
    <row r="114" spans="1:17" ht="45" x14ac:dyDescent="0.25">
      <c r="E114" s="5" t="s">
        <v>632</v>
      </c>
      <c r="F114" s="111">
        <f>F$112+0.0000000000001/$C$112</f>
        <v>1.0000000000000018</v>
      </c>
      <c r="G114" s="111">
        <f>G$112/$C$112</f>
        <v>0.24528301886792453</v>
      </c>
      <c r="H114" s="111">
        <f>H$112/$C$112</f>
        <v>0</v>
      </c>
      <c r="I114" s="111">
        <f t="shared" ref="I114" si="54">I$112/$C$112</f>
        <v>1.8867924528301886E-2</v>
      </c>
      <c r="J114" s="111">
        <f>J$112/$C$112</f>
        <v>3.7735849056603772E-2</v>
      </c>
      <c r="K114" s="111">
        <f>K$112/$C$112</f>
        <v>0.11320754716981132</v>
      </c>
      <c r="L114" s="97"/>
      <c r="M114" s="97"/>
    </row>
    <row r="115" spans="1:17" x14ac:dyDescent="0.25">
      <c r="E115" s="3"/>
      <c r="F115" s="3">
        <f>_xlfn.RANK.EQ(F114,$F$114:$K$114)</f>
        <v>1</v>
      </c>
      <c r="G115" s="3">
        <f t="shared" ref="G115:K115" si="55">_xlfn.RANK.EQ(G114,$F$114:$K$114)</f>
        <v>2</v>
      </c>
      <c r="H115" s="3">
        <f>_xlfn.RANK.EQ(H114,$F$114:$K$114)</f>
        <v>6</v>
      </c>
      <c r="I115" s="3">
        <f t="shared" si="55"/>
        <v>5</v>
      </c>
      <c r="J115" s="3">
        <f t="shared" si="55"/>
        <v>4</v>
      </c>
      <c r="K115" s="3">
        <f t="shared" si="55"/>
        <v>3</v>
      </c>
    </row>
    <row r="117" spans="1:17" x14ac:dyDescent="0.25">
      <c r="E117" s="3"/>
      <c r="F117" s="3">
        <v>1</v>
      </c>
      <c r="G117" s="3">
        <v>2</v>
      </c>
      <c r="H117" s="3">
        <v>3</v>
      </c>
      <c r="I117" s="3">
        <v>4</v>
      </c>
      <c r="J117" s="3">
        <v>5</v>
      </c>
      <c r="K117" s="3">
        <v>6</v>
      </c>
    </row>
    <row r="118" spans="1:17" ht="63" customHeight="1" x14ac:dyDescent="0.25">
      <c r="E118" s="3"/>
      <c r="F118" s="5" t="str">
        <f>_xlfn.XLOOKUP(F117,$F$115:$K$115,$F$111:$K$111)</f>
        <v>Leverandøren skal kunne levere brukte møbler</v>
      </c>
      <c r="G118" s="5" t="str">
        <f t="shared" ref="G118:J118" si="56">_xlfn.XLOOKUP(G117,$F$115:$K$115,$F$111:$K$111)</f>
        <v>Brukte møbler er untatt fra avtalen</v>
      </c>
      <c r="H118" s="5" t="str">
        <f t="shared" si="56"/>
        <v>Serviceavtale/ reparasjonsavtale</v>
      </c>
      <c r="I118" s="5" t="str">
        <f t="shared" si="56"/>
        <v>Avhending, videresalg, materialgjenvinnes/ resirkuleres</v>
      </c>
      <c r="J118" s="5" t="str">
        <f t="shared" si="56"/>
        <v>Leverandøren skal ta tilbake brukte møbler</v>
      </c>
      <c r="K118" s="5" t="str">
        <f>_xlfn.XLOOKUP(K117,$F$115:$K$115,$F$111:$K$111)</f>
        <v>Leie/ leasing av møbler</v>
      </c>
      <c r="L118" s="34"/>
      <c r="M118" s="34"/>
    </row>
    <row r="119" spans="1:17" ht="45" x14ac:dyDescent="0.25">
      <c r="E119" s="5" t="s">
        <v>632</v>
      </c>
      <c r="F119" s="111">
        <f>_xlfn.XLOOKUP(F117,$F$115:$K$115,$F$114:$K$114)</f>
        <v>1.0000000000000018</v>
      </c>
      <c r="G119" s="111">
        <f t="shared" ref="G119:J119" si="57">_xlfn.XLOOKUP(G117,$F$115:$K$115,$F$114:$K$114)</f>
        <v>0.24528301886792453</v>
      </c>
      <c r="H119" s="111">
        <f t="shared" si="57"/>
        <v>0.11320754716981132</v>
      </c>
      <c r="I119" s="111">
        <f t="shared" si="57"/>
        <v>3.7735849056603772E-2</v>
      </c>
      <c r="J119" s="111">
        <f t="shared" si="57"/>
        <v>1.8867924528301886E-2</v>
      </c>
      <c r="K119" s="111">
        <f>_xlfn.XLOOKUP(K117,$F$115:$K$115,$F$114:$K$114)</f>
        <v>0</v>
      </c>
      <c r="L119" s="97"/>
      <c r="M119" s="97"/>
    </row>
    <row r="120" spans="1:17" x14ac:dyDescent="0.25">
      <c r="E120" s="34"/>
      <c r="F120" s="97"/>
      <c r="G120" s="97"/>
      <c r="H120" s="97"/>
      <c r="I120" s="97"/>
      <c r="J120" s="97"/>
      <c r="K120" s="97"/>
      <c r="L120" s="97"/>
      <c r="M120" s="97"/>
    </row>
    <row r="124" spans="1:17" ht="71.45" customHeight="1" x14ac:dyDescent="0.25">
      <c r="A124" s="102" t="s">
        <v>634</v>
      </c>
      <c r="B124" s="5" t="s">
        <v>635</v>
      </c>
      <c r="C124" s="5" t="s">
        <v>636</v>
      </c>
      <c r="D124" s="3" t="s">
        <v>573</v>
      </c>
      <c r="E124" s="3" t="s">
        <v>562</v>
      </c>
      <c r="G124" s="3" t="s">
        <v>7</v>
      </c>
      <c r="H124" s="5" t="s">
        <v>637</v>
      </c>
      <c r="I124" s="5" t="s">
        <v>638</v>
      </c>
      <c r="J124" s="5" t="s">
        <v>639</v>
      </c>
      <c r="L124" s="5" t="s">
        <v>640</v>
      </c>
      <c r="M124" s="5" t="s">
        <v>641</v>
      </c>
    </row>
    <row r="125" spans="1:17" ht="44.1" customHeight="1" x14ac:dyDescent="0.25">
      <c r="A125" s="3" t="s">
        <v>80</v>
      </c>
      <c r="B125" s="3">
        <f>COUNTIFS('Database kontormøbler - 2021'!$H$3:$H$55,'Utregning av grafer'!$A125,'Database kontormøbler - 2021'!$AK$3:$AK$55,1)+COUNTIFS('Database kontormøbler - 2021'!$H$3:$H$55,"Universitet/Høyskole",'Database kontormøbler - 2021'!$AK$3:$AK$55,1)</f>
        <v>10</v>
      </c>
      <c r="C125" s="3">
        <f>+COUNTIFS('Database kontormøbler - 2021'!$H$3:$H$55,'Utregning av grafer'!$A125,'Database kontormøbler - 2021'!$AK$3:$AK$55,2)+COUNTIFS('Database kontormøbler - 2021'!$H$3:$H$55,"Universitet/Høyskole",'Database kontormøbler - 2021'!$AK$3:$AK$55,2)</f>
        <v>4</v>
      </c>
      <c r="D125" s="3">
        <f>+COUNTIFS('Database kontormøbler - 2021'!$H$3:$H$55,'Utregning av grafer'!$A125,'Database kontormøbler - 2021'!$AK$3:$AK$55,0)</f>
        <v>12</v>
      </c>
      <c r="E125" s="3">
        <f>SUM(B125:D125)</f>
        <v>26</v>
      </c>
      <c r="G125" s="3" t="s">
        <v>80</v>
      </c>
      <c r="H125" s="105">
        <f>B125/$E$125</f>
        <v>0.38461538461538464</v>
      </c>
      <c r="I125" s="105">
        <f>C125/$E$125</f>
        <v>0.15384615384615385</v>
      </c>
      <c r="J125" s="112">
        <f>1-H125-I125</f>
        <v>0.46153846153846156</v>
      </c>
      <c r="L125" s="105">
        <f>(B128+C128)/E128</f>
        <v>0.62264150943396224</v>
      </c>
      <c r="M125" s="105">
        <f>1-L125</f>
        <v>0.37735849056603776</v>
      </c>
    </row>
    <row r="126" spans="1:17" x14ac:dyDescent="0.25">
      <c r="A126" s="3" t="s">
        <v>99</v>
      </c>
      <c r="B126" s="3">
        <f>COUNTIFS('Database kontormøbler - 2021'!$H$3:$H$55,'Utregning av grafer'!$A126,'Database kontormøbler - 2021'!$AK$3:$AK$55,1)</f>
        <v>8</v>
      </c>
      <c r="C126" s="3">
        <f>+COUNTIFS('Database kontormøbler - 2021'!$H$3:$H$55,'Utregning av grafer'!$A126,'Database kontormøbler - 2021'!$AK$3:$AK$55,2)</f>
        <v>8</v>
      </c>
      <c r="D126" s="3">
        <f>+COUNTIFS('Database kontormøbler - 2021'!$H$3:$H$55,'Utregning av grafer'!$A126,'Database kontormøbler - 2021'!$AK$3:$AK$55,0)</f>
        <v>8</v>
      </c>
      <c r="E126" s="3">
        <f>SUM(B126:D126)</f>
        <v>24</v>
      </c>
      <c r="G126" s="3" t="s">
        <v>99</v>
      </c>
      <c r="H126" s="105">
        <f>B126/$E$126</f>
        <v>0.33333333333333331</v>
      </c>
      <c r="I126" s="105">
        <f>C126/$E$126</f>
        <v>0.33333333333333331</v>
      </c>
      <c r="J126" s="112">
        <f>1-H126-I126</f>
        <v>0.33333333333333343</v>
      </c>
    </row>
    <row r="127" spans="1:17" x14ac:dyDescent="0.25">
      <c r="A127" s="3" t="s">
        <v>130</v>
      </c>
      <c r="B127" s="3">
        <f>COUNTIFS('Database kontormøbler - 2021'!$H$3:$H$55,'Utregning av grafer'!$A127,'Database kontormøbler - 2021'!$AK$3:$AK$55,1)</f>
        <v>3</v>
      </c>
      <c r="C127" s="3">
        <f>+COUNTIFS('Database kontormøbler - 2021'!$H$3:$H$55,'Utregning av grafer'!$A127,'Database kontormøbler - 2021'!$AK$3:$AK$55,2)</f>
        <v>0</v>
      </c>
      <c r="D127" s="3">
        <f>+COUNTIFS('Database kontormøbler - 2021'!$H$3:$H$55,'Utregning av grafer'!$A127,'Database kontormøbler - 2021'!$AK$3:$AK$55,0)</f>
        <v>0</v>
      </c>
      <c r="E127" s="3">
        <f>SUM(B127:D127)</f>
        <v>3</v>
      </c>
      <c r="G127" s="3" t="s">
        <v>130</v>
      </c>
      <c r="H127" s="105">
        <f>B127/$E$127</f>
        <v>1</v>
      </c>
      <c r="I127" s="105">
        <f t="shared" ref="I127" si="58">C127/$E$128</f>
        <v>0</v>
      </c>
      <c r="J127" s="112">
        <f>1-H127-I127</f>
        <v>0</v>
      </c>
    </row>
    <row r="128" spans="1:17" x14ac:dyDescent="0.25">
      <c r="A128" s="3" t="s">
        <v>627</v>
      </c>
      <c r="B128" s="3">
        <f>SUM(B125:B127)</f>
        <v>21</v>
      </c>
      <c r="C128" s="3">
        <f t="shared" ref="C128:E128" si="59">SUM(C125:C127)</f>
        <v>12</v>
      </c>
      <c r="D128" s="3">
        <f t="shared" si="59"/>
        <v>20</v>
      </c>
      <c r="E128" s="3">
        <f t="shared" si="59"/>
        <v>53</v>
      </c>
    </row>
    <row r="132" spans="1:13" ht="79.5" customHeight="1" x14ac:dyDescent="0.25">
      <c r="A132" s="102" t="s">
        <v>546</v>
      </c>
      <c r="B132" s="5" t="s">
        <v>642</v>
      </c>
      <c r="C132" s="5" t="s">
        <v>643</v>
      </c>
      <c r="D132" s="3" t="s">
        <v>573</v>
      </c>
      <c r="E132" s="3" t="s">
        <v>562</v>
      </c>
      <c r="G132" s="3" t="s">
        <v>7</v>
      </c>
      <c r="H132" s="5" t="s">
        <v>644</v>
      </c>
      <c r="I132" s="5" t="s">
        <v>645</v>
      </c>
      <c r="J132" s="5" t="s">
        <v>646</v>
      </c>
      <c r="L132" s="5" t="s">
        <v>647</v>
      </c>
      <c r="M132" s="5" t="s">
        <v>648</v>
      </c>
    </row>
    <row r="133" spans="1:13" x14ac:dyDescent="0.25">
      <c r="A133" s="3" t="s">
        <v>80</v>
      </c>
      <c r="B133" s="3">
        <f>COUNTIFS('Database kontormøbler - 2021'!$H$3:$H$55,'Utregning av grafer'!$A133,'Database kontormøbler - 2021'!$AL$3:$AL$55,1)+COUNTIFS('Database kontormøbler - 2021'!$H$3:$H$55,"Universitet/Høyskole",'Database kontormøbler - 2021'!$AL$3:$AL$55,1)</f>
        <v>15</v>
      </c>
      <c r="C133" s="3">
        <f>+COUNTIFS('Database kontormøbler - 2021'!$H$3:$H$55,'Utregning av grafer'!$A133,'Database kontormøbler - 2021'!$AL$3:$AL$55,2)+COUNTIFS('Database kontormøbler - 2021'!$H$3:$H$55,"Universitet/Høyskole",'Database kontormøbler - 2021'!$AL$3:$AL$55,2)</f>
        <v>6</v>
      </c>
      <c r="D133" s="3">
        <f>+COUNTIFS('Database kontormøbler - 2021'!$H$3:$H$55,'Utregning av grafer'!$A133,'Database kontormøbler - 2021'!$AL$3:$AL$55,0)</f>
        <v>5</v>
      </c>
      <c r="E133" s="3">
        <f>SUM(B133:D133)</f>
        <v>26</v>
      </c>
      <c r="G133" s="3" t="s">
        <v>80</v>
      </c>
      <c r="H133" s="105">
        <f>B133/$E$133</f>
        <v>0.57692307692307687</v>
      </c>
      <c r="I133" s="105">
        <f>C133/$E$133</f>
        <v>0.23076923076923078</v>
      </c>
      <c r="J133" s="112">
        <f>1-H133-I133</f>
        <v>0.19230769230769235</v>
      </c>
      <c r="L133" s="105">
        <f>(B136+C136)/E136</f>
        <v>0.81132075471698117</v>
      </c>
      <c r="M133" s="105">
        <f>1-L133</f>
        <v>0.18867924528301883</v>
      </c>
    </row>
    <row r="134" spans="1:13" x14ac:dyDescent="0.25">
      <c r="A134" s="3" t="s">
        <v>99</v>
      </c>
      <c r="B134" s="3">
        <f>COUNTIFS('Database kontormøbler - 2021'!$H$3:$H$55,'Utregning av grafer'!$A134,'Database kontormøbler - 2021'!$AL$3:$AL$55,1)</f>
        <v>9</v>
      </c>
      <c r="C134" s="3">
        <f>+COUNTIFS('Database kontormøbler - 2021'!$H$3:$H$55,'Utregning av grafer'!$A134,'Database kontormøbler - 2021'!$AL$3:$AL$55,2)</f>
        <v>11</v>
      </c>
      <c r="D134" s="3">
        <f>+COUNTIFS('Database kontormøbler - 2021'!$H$3:$H$55,'Utregning av grafer'!$A134,'Database kontormøbler - 2021'!$AL$3:$AL$55,0)</f>
        <v>4</v>
      </c>
      <c r="E134" s="3">
        <f>SUM(B134:D134)</f>
        <v>24</v>
      </c>
      <c r="G134" s="3" t="s">
        <v>99</v>
      </c>
      <c r="H134" s="105">
        <f>B134/$E$134</f>
        <v>0.375</v>
      </c>
      <c r="I134" s="105">
        <f>C134/$E$134</f>
        <v>0.45833333333333331</v>
      </c>
      <c r="J134" s="112">
        <f>1-H134-I134</f>
        <v>0.16666666666666669</v>
      </c>
    </row>
    <row r="135" spans="1:13" x14ac:dyDescent="0.25">
      <c r="A135" s="3" t="s">
        <v>130</v>
      </c>
      <c r="B135" s="3">
        <f>COUNTIFS('Database kontormøbler - 2021'!$H$3:$H$55,'Utregning av grafer'!$A135,'Database kontormøbler - 2021'!$AL$3:$AL$55,1)</f>
        <v>2</v>
      </c>
      <c r="C135" s="3">
        <f>+COUNTIFS('Database kontormøbler - 2021'!$H$3:$H$55,'Utregning av grafer'!$A135,'Database kontormøbler - 2021'!$AL$3:$AL$55,2)</f>
        <v>0</v>
      </c>
      <c r="D135" s="3">
        <f>+COUNTIFS('Database kontormøbler - 2021'!$H$3:$H$55,'Utregning av grafer'!$A135,'Database kontormøbler - 2021'!$AL$3:$AL$55,0)</f>
        <v>1</v>
      </c>
      <c r="E135" s="3">
        <f>SUM(B135:D135)</f>
        <v>3</v>
      </c>
      <c r="G135" s="3" t="s">
        <v>130</v>
      </c>
      <c r="H135" s="105">
        <f>B135/$E$135</f>
        <v>0.66666666666666663</v>
      </c>
      <c r="I135" s="105">
        <f>C135/$E$135</f>
        <v>0</v>
      </c>
      <c r="J135" s="112">
        <f>1-H135-I135</f>
        <v>0.33333333333333337</v>
      </c>
    </row>
    <row r="136" spans="1:13" x14ac:dyDescent="0.25">
      <c r="A136" s="3" t="s">
        <v>627</v>
      </c>
      <c r="B136" s="3">
        <f>SUM(B133:B135)</f>
        <v>26</v>
      </c>
      <c r="C136" s="3">
        <f t="shared" ref="C136" si="60">SUM(C133:C135)</f>
        <v>17</v>
      </c>
      <c r="D136" s="3">
        <f t="shared" ref="D136" si="61">SUM(D133:D135)</f>
        <v>10</v>
      </c>
      <c r="E136" s="3">
        <f t="shared" ref="E136" si="62">SUM(E133:E135)</f>
        <v>53</v>
      </c>
    </row>
    <row r="140" spans="1:13" ht="30" x14ac:dyDescent="0.25">
      <c r="A140" s="102" t="s">
        <v>37</v>
      </c>
      <c r="B140" s="3"/>
      <c r="E140" s="102" t="s">
        <v>38</v>
      </c>
      <c r="F140" s="3"/>
    </row>
    <row r="141" spans="1:13" ht="60" x14ac:dyDescent="0.25">
      <c r="A141" s="5" t="s">
        <v>649</v>
      </c>
      <c r="B141" s="5" t="s">
        <v>650</v>
      </c>
      <c r="E141" s="5" t="s">
        <v>651</v>
      </c>
      <c r="F141" s="5" t="s">
        <v>650</v>
      </c>
    </row>
    <row r="142" spans="1:13" x14ac:dyDescent="0.25">
      <c r="A142" s="105">
        <f>COUNTIF(Tabell2[Leverandøren skal kunne levere brukte møbler],1)/E136</f>
        <v>1.8867924528301886E-2</v>
      </c>
      <c r="B142" s="105">
        <f>1-A142</f>
        <v>0.98113207547169812</v>
      </c>
      <c r="E142" s="105">
        <f>COUNTIF(Tabell2[Brukte møbler er untatt fra avtalen],1)/E136</f>
        <v>0.30188679245283018</v>
      </c>
      <c r="F142" s="105">
        <f>1-E142</f>
        <v>0.69811320754716988</v>
      </c>
    </row>
    <row r="146" spans="1:13" ht="120" x14ac:dyDescent="0.25">
      <c r="A146" s="102" t="s">
        <v>547</v>
      </c>
      <c r="B146" s="5" t="s">
        <v>652</v>
      </c>
      <c r="C146" s="5" t="s">
        <v>653</v>
      </c>
      <c r="D146" s="3" t="s">
        <v>573</v>
      </c>
      <c r="E146" s="3" t="s">
        <v>562</v>
      </c>
      <c r="G146" s="3" t="s">
        <v>7</v>
      </c>
      <c r="H146" s="5" t="s">
        <v>654</v>
      </c>
      <c r="I146" s="5" t="s">
        <v>655</v>
      </c>
      <c r="J146" s="5" t="s">
        <v>656</v>
      </c>
      <c r="L146" s="5" t="s">
        <v>657</v>
      </c>
      <c r="M146" s="5" t="s">
        <v>658</v>
      </c>
    </row>
    <row r="147" spans="1:13" x14ac:dyDescent="0.25">
      <c r="A147" s="3" t="s">
        <v>80</v>
      </c>
      <c r="B147" s="3">
        <f>COUNTIFS('Database kontormøbler - 2021'!$H$3:$H$55,'Utregning av grafer'!$A147,'Database kontormøbler - 2021'!$AO$3:$AO$55,1)+COUNTIFS('Database kontormøbler - 2021'!$H$3:$H$55,"Universitet/Høyskole",'Database kontormøbler - 2021'!$AO$3:$AO$55,1)</f>
        <v>10</v>
      </c>
      <c r="C147" s="3">
        <f>+COUNTIFS('Database kontormøbler - 2021'!$H$3:$H$55,'Utregning av grafer'!$A147,'Database kontormøbler - 2021'!$AO$3:$AO$55,2)+COUNTIFS('Database kontormøbler - 2021'!$H$3:$H$55,"Universitet/Høyskole",'Database kontormøbler - 2021'!$AO$3:$AO$55,2)</f>
        <v>7</v>
      </c>
      <c r="D147" s="3">
        <f>+COUNTIFS('Database kontormøbler - 2021'!$H$3:$H$55,'Utregning av grafer'!$A147,'Database kontormøbler - 2021'!$AO$3:$AO$55,0)+COUNTIFS('Database kontormøbler - 2021'!$H$3:$H$55,"Universitet/Høyskole",'Database kontormøbler - 2021'!$AO$3:$AO$55,0)</f>
        <v>9</v>
      </c>
      <c r="E147" s="3">
        <f>SUM(B147:D147)</f>
        <v>26</v>
      </c>
      <c r="G147" s="3" t="s">
        <v>80</v>
      </c>
      <c r="H147" s="105">
        <f>B147/$E$147</f>
        <v>0.38461538461538464</v>
      </c>
      <c r="I147" s="105">
        <f>C147/$E$147</f>
        <v>0.26923076923076922</v>
      </c>
      <c r="J147" s="112">
        <f>1-H147-I147</f>
        <v>0.3461538461538462</v>
      </c>
      <c r="L147" s="105">
        <f>(B150+C150)/E150</f>
        <v>0.71698113207547165</v>
      </c>
      <c r="M147" s="105">
        <f>1-L147</f>
        <v>0.28301886792452835</v>
      </c>
    </row>
    <row r="148" spans="1:13" x14ac:dyDescent="0.25">
      <c r="A148" s="3" t="s">
        <v>99</v>
      </c>
      <c r="B148" s="3">
        <f>COUNTIFS('Database kontormøbler - 2021'!$H$3:$H$55,'Utregning av grafer'!$A148,'Database kontormøbler - 2021'!$AO$3:$AO$55,1)</f>
        <v>13</v>
      </c>
      <c r="C148" s="3">
        <f>+COUNTIFS('Database kontormøbler - 2021'!$H$3:$H$55,'Utregning av grafer'!$A148,'Database kontormøbler - 2021'!$AO$3:$AO$55,2)</f>
        <v>5</v>
      </c>
      <c r="D148" s="3">
        <f>+COUNTIFS('Database kontormøbler - 2021'!$H$3:$H$55,'Utregning av grafer'!$A148,'Database kontormøbler - 2021'!$AO$3:$AO$55,0)</f>
        <v>6</v>
      </c>
      <c r="E148" s="3">
        <f>SUM(B148:D148)</f>
        <v>24</v>
      </c>
      <c r="G148" s="3" t="s">
        <v>99</v>
      </c>
      <c r="H148" s="105">
        <f>B148/$E$148</f>
        <v>0.54166666666666663</v>
      </c>
      <c r="I148" s="105">
        <f>C148/$E$148</f>
        <v>0.20833333333333334</v>
      </c>
      <c r="J148" s="112">
        <f>1-H148-I148</f>
        <v>0.25</v>
      </c>
    </row>
    <row r="149" spans="1:13" x14ac:dyDescent="0.25">
      <c r="A149" s="3" t="s">
        <v>130</v>
      </c>
      <c r="B149" s="3">
        <f>COUNTIFS('Database kontormøbler - 2021'!$H$3:$H$55,'Utregning av grafer'!$A149,'Database kontormøbler - 2021'!$AO$3:$AO$55,1)</f>
        <v>3</v>
      </c>
      <c r="C149" s="3">
        <f>+COUNTIFS('Database kontormøbler - 2021'!$H$3:$H$55,'Utregning av grafer'!$A149,'Database kontormøbler - 2021'!$AO$3:$AO$55,2)</f>
        <v>0</v>
      </c>
      <c r="D149" s="3">
        <f>+COUNTIFS('Database kontormøbler - 2021'!$H$3:$H$55,'Utregning av grafer'!$A149,'Database kontormøbler - 2021'!$AO$3:$AO$55,0)</f>
        <v>0</v>
      </c>
      <c r="E149" s="3">
        <f>SUM(B149:D149)</f>
        <v>3</v>
      </c>
      <c r="G149" s="3" t="s">
        <v>130</v>
      </c>
      <c r="H149" s="105">
        <f>B149/$E$149</f>
        <v>1</v>
      </c>
      <c r="I149" s="105">
        <f>C149/$E$149</f>
        <v>0</v>
      </c>
      <c r="J149" s="112">
        <f>1-H149-I149</f>
        <v>0</v>
      </c>
    </row>
    <row r="150" spans="1:13" x14ac:dyDescent="0.25">
      <c r="A150" s="3" t="s">
        <v>627</v>
      </c>
      <c r="B150" s="3">
        <f>SUM(B147:B149)</f>
        <v>26</v>
      </c>
      <c r="C150" s="3">
        <f t="shared" ref="C150" si="63">SUM(C147:C149)</f>
        <v>12</v>
      </c>
      <c r="D150" s="3">
        <f t="shared" ref="D150" si="64">SUM(D147:D149)</f>
        <v>15</v>
      </c>
      <c r="E150" s="3">
        <f>SUM(E147:E149)</f>
        <v>53</v>
      </c>
    </row>
    <row r="154" spans="1:13" ht="60" x14ac:dyDescent="0.25">
      <c r="A154" s="102" t="s">
        <v>40</v>
      </c>
      <c r="B154" s="5" t="s">
        <v>659</v>
      </c>
      <c r="C154" s="5" t="s">
        <v>660</v>
      </c>
      <c r="D154" s="3" t="s">
        <v>573</v>
      </c>
      <c r="E154" s="3" t="s">
        <v>562</v>
      </c>
      <c r="G154" s="3" t="s">
        <v>7</v>
      </c>
      <c r="H154" s="5" t="s">
        <v>654</v>
      </c>
      <c r="I154" s="5" t="s">
        <v>655</v>
      </c>
      <c r="J154" s="5" t="s">
        <v>656</v>
      </c>
      <c r="L154" s="5" t="s">
        <v>661</v>
      </c>
      <c r="M154" s="5" t="s">
        <v>658</v>
      </c>
    </row>
    <row r="155" spans="1:13" x14ac:dyDescent="0.25">
      <c r="A155" s="3" t="s">
        <v>80</v>
      </c>
      <c r="B155" s="3">
        <f>COUNTIFS('Database kontormøbler - 2021'!$H$3:$H$55,'Utregning av grafer'!$A155,'Database kontormøbler - 2021'!$AP$3:$AP$55,1)+COUNTIFS('Database kontormøbler - 2021'!$H$3:$H$55,"Universitet/Høyskole",'Database kontormøbler - 2021'!$AP$3:$AP$55,1)</f>
        <v>3</v>
      </c>
      <c r="C155" s="3">
        <f>+COUNTIFS('Database kontormøbler - 2021'!$H$3:$H$55,'Utregning av grafer'!$A155,'Database kontormøbler - 2021'!$AP$3:$AP$55,2)+COUNTIFS('Database kontormøbler - 2021'!$H$3:$H$55,"Universitet/Høyskole",'Database kontormøbler - 2021'!$AP$3:$AP$55,2)</f>
        <v>1</v>
      </c>
      <c r="D155" s="3">
        <f>+COUNTIFS('Database kontormøbler - 2021'!$H$3:$H$55,'Utregning av grafer'!$A155,'Database kontormøbler - 2021'!$AP$3:$AP$55,0)+COUNTIFS('Database kontormøbler - 2021'!$H$3:$H$55,"Universitet/Høyskole",'Database kontormøbler - 2021'!$AP$3:$AP$55,0)</f>
        <v>22</v>
      </c>
      <c r="E155" s="3">
        <f>SUM(B155:D155)</f>
        <v>26</v>
      </c>
      <c r="G155" s="3" t="s">
        <v>80</v>
      </c>
      <c r="H155" s="105">
        <f>B155/$E$155</f>
        <v>0.11538461538461539</v>
      </c>
      <c r="I155" s="105">
        <f>C155/$E$155</f>
        <v>3.8461538461538464E-2</v>
      </c>
      <c r="J155" s="105">
        <f>D155/$E$155</f>
        <v>0.84615384615384615</v>
      </c>
      <c r="L155" s="105">
        <f>(B158+C158)/E158</f>
        <v>0.18867924528301888</v>
      </c>
      <c r="M155" s="105">
        <f>1-L155</f>
        <v>0.81132075471698117</v>
      </c>
    </row>
    <row r="156" spans="1:13" x14ac:dyDescent="0.25">
      <c r="A156" s="3" t="s">
        <v>99</v>
      </c>
      <c r="B156" s="3">
        <f>COUNTIFS('Database kontormøbler - 2021'!$H$3:$H$55,'Utregning av grafer'!$A156,'Database kontormøbler - 2021'!$AP$3:$AP$55,1)</f>
        <v>5</v>
      </c>
      <c r="C156" s="3">
        <f>+COUNTIFS('Database kontormøbler - 2021'!$H$3:$H$55,'Utregning av grafer'!$A156,'Database kontormøbler - 2021'!$AP$3:$AP$55,2)</f>
        <v>1</v>
      </c>
      <c r="D156" s="3">
        <f>+COUNTIFS('Database kontormøbler - 2021'!$H$3:$H$55,'Utregning av grafer'!$A156,'Database kontormøbler - 2021'!$AP$3:$AP$55,0)</f>
        <v>18</v>
      </c>
      <c r="E156" s="3">
        <f>SUM(B156:D156)</f>
        <v>24</v>
      </c>
      <c r="G156" s="3" t="s">
        <v>99</v>
      </c>
      <c r="H156" s="105">
        <f>B156/$E$156</f>
        <v>0.20833333333333334</v>
      </c>
      <c r="I156" s="105">
        <f>C156/$E$156</f>
        <v>4.1666666666666664E-2</v>
      </c>
      <c r="J156" s="105">
        <f>D156/$E$156</f>
        <v>0.75</v>
      </c>
    </row>
    <row r="157" spans="1:13" x14ac:dyDescent="0.25">
      <c r="A157" s="3" t="s">
        <v>130</v>
      </c>
      <c r="B157" s="3">
        <f>COUNTIFS('Database kontormøbler - 2021'!$H$3:$H$55,'Utregning av grafer'!$A157,'Database kontormøbler - 2021'!$AP$3:$AP$55,1)</f>
        <v>0</v>
      </c>
      <c r="C157" s="3">
        <f>+COUNTIFS('Database kontormøbler - 2021'!$H$3:$H$55,'Utregning av grafer'!$A157,'Database kontormøbler - 2021'!$AP$3:$AP$55,2)</f>
        <v>0</v>
      </c>
      <c r="D157" s="3">
        <f>+COUNTIFS('Database kontormøbler - 2021'!$H$3:$H$55,'Utregning av grafer'!$A157,'Database kontormøbler - 2021'!$AP$3:$AP$55,0)</f>
        <v>3</v>
      </c>
      <c r="E157" s="3">
        <f>SUM(B157:D157)</f>
        <v>3</v>
      </c>
      <c r="G157" s="3" t="s">
        <v>130</v>
      </c>
      <c r="H157" s="105">
        <f>B157/$E$157</f>
        <v>0</v>
      </c>
      <c r="I157" s="105">
        <f>C157/$E$157</f>
        <v>0</v>
      </c>
      <c r="J157" s="105">
        <f>D157/$E$157</f>
        <v>1</v>
      </c>
    </row>
    <row r="158" spans="1:13" x14ac:dyDescent="0.25">
      <c r="A158" s="3" t="s">
        <v>627</v>
      </c>
      <c r="B158" s="3">
        <f>SUM(B155:B157)</f>
        <v>8</v>
      </c>
      <c r="C158" s="3">
        <f t="shared" ref="C158" si="65">SUM(C155:C157)</f>
        <v>2</v>
      </c>
      <c r="D158" s="3">
        <f t="shared" ref="D158" si="66">SUM(D155:D157)</f>
        <v>43</v>
      </c>
      <c r="E158" s="3">
        <f>SUM(E155:E157)</f>
        <v>53</v>
      </c>
    </row>
    <row r="162" spans="1:18" ht="60.6" customHeight="1" x14ac:dyDescent="0.25">
      <c r="A162" s="102" t="s">
        <v>662</v>
      </c>
      <c r="B162" s="3"/>
      <c r="E162" s="102" t="s">
        <v>663</v>
      </c>
      <c r="F162" s="3"/>
      <c r="I162" s="102" t="s">
        <v>45</v>
      </c>
      <c r="J162" s="3"/>
    </row>
    <row r="163" spans="1:18" ht="105" x14ac:dyDescent="0.25">
      <c r="A163" s="5" t="s">
        <v>664</v>
      </c>
      <c r="B163" s="5" t="s">
        <v>650</v>
      </c>
      <c r="E163" s="5" t="s">
        <v>665</v>
      </c>
      <c r="F163" s="5" t="s">
        <v>650</v>
      </c>
      <c r="I163" s="5" t="s">
        <v>666</v>
      </c>
      <c r="J163" s="5" t="s">
        <v>650</v>
      </c>
    </row>
    <row r="164" spans="1:18" x14ac:dyDescent="0.25">
      <c r="A164" s="105">
        <f>COUNTIF(Tabell2[Leverandøren skal ta tilbake brukte møbler],1)/E158</f>
        <v>5.6603773584905662E-2</v>
      </c>
      <c r="B164" s="105">
        <f>1-A164</f>
        <v>0.94339622641509435</v>
      </c>
      <c r="E164" s="105">
        <f>COUNTIF(Tabell2[Avhending, videresalg, materialgjenvinnes/resirkuleres, (at de ber om en tjeneste om at leverandøren skal ta inn oppdragsgivers brukte møbler og videreselge, eller materialgjenvinne/resirkulere). Dette stille kanskje oftest som kontraktvilkår. ],1)/E158</f>
        <v>3.7735849056603772E-2</v>
      </c>
      <c r="F164" s="105">
        <f>1-E164</f>
        <v>0.96226415094339623</v>
      </c>
      <c r="I164" s="105">
        <f>COUNTIF(Tabell2[TCO/ LCC (Livssyklus kostnader)],1)/E158</f>
        <v>1.8867924528301886E-2</v>
      </c>
      <c r="J164" s="105">
        <f>1-I164</f>
        <v>0.98113207547169812</v>
      </c>
    </row>
    <row r="168" spans="1:18" ht="30" x14ac:dyDescent="0.25">
      <c r="A168" s="102" t="s">
        <v>44</v>
      </c>
      <c r="B168" s="3" t="s">
        <v>572</v>
      </c>
      <c r="C168" s="3" t="s">
        <v>573</v>
      </c>
      <c r="D168" s="3" t="s">
        <v>562</v>
      </c>
      <c r="F168" s="3" t="s">
        <v>7</v>
      </c>
      <c r="G168" s="3" t="s">
        <v>563</v>
      </c>
      <c r="I168" s="143" t="s">
        <v>568</v>
      </c>
      <c r="J168" s="143"/>
    </row>
    <row r="169" spans="1:18" ht="60" x14ac:dyDescent="0.25">
      <c r="A169" s="3" t="s">
        <v>80</v>
      </c>
      <c r="B169" s="110">
        <f>COUNTIFS('Database kontormøbler - 2021'!$H$3:$H$55,'Utregning av grafer'!$A169,'Database kontormøbler - 2021'!$AT$3:$AT$55,1)+COUNTIFS('Database kontormøbler - 2021'!$H$3:$H$55,"Universitet/Høyskole",'Database kontormøbler - 2021'!$AT$3:$AT$55,1)+COUNTIFS('Database kontormøbler - 2021'!$H$3:$H$55,'Utregning av grafer'!$A169,'Database kontormøbler - 2021'!$AT$3:$AT$55,2)</f>
        <v>5</v>
      </c>
      <c r="C169" s="110">
        <f>COUNTIFS('Database kontormøbler - 2021'!$H$3:$H$55,'Utregning av grafer'!$A169,'Database kontormøbler - 2021'!$AT$3:$AT$55,0)+COUNTIFS('Database kontormøbler - 2021'!$H$3:$H$55,"Universitet/Høyskole",'Database kontormøbler - 2021'!$AT$3:$AT$55,0)</f>
        <v>21</v>
      </c>
      <c r="D169" s="3">
        <f>SUM(B169:C169)</f>
        <v>26</v>
      </c>
      <c r="F169" s="3" t="s">
        <v>80</v>
      </c>
      <c r="G169" s="105">
        <f>B169/D169</f>
        <v>0.19230769230769232</v>
      </c>
      <c r="I169" s="5" t="s">
        <v>667</v>
      </c>
      <c r="J169" s="5" t="s">
        <v>622</v>
      </c>
    </row>
    <row r="170" spans="1:18" x14ac:dyDescent="0.25">
      <c r="A170" s="3" t="s">
        <v>99</v>
      </c>
      <c r="B170" s="110">
        <f>COUNTIFS('Database kontormøbler - 2021'!$H$3:$H$55,'Utregning av grafer'!$A170,'Database kontormøbler - 2021'!$AT$3:$AT$55,1)+COUNTIFS('Database kontormøbler - 2021'!$H$3:$H$55,'Utregning av grafer'!$A170,'Database kontormøbler - 2021'!$AT$3:$AT$55,2)</f>
        <v>2</v>
      </c>
      <c r="C170" s="3">
        <f>COUNTIFS('Database kontormøbler - 2021'!$H$3:$H$55,'Utregning av grafer'!$A170,'Database kontormøbler - 2021'!$AT$3:$AT$55,0)</f>
        <v>22</v>
      </c>
      <c r="D170" s="3">
        <f>SUM(B170:C170)</f>
        <v>24</v>
      </c>
      <c r="F170" s="3" t="s">
        <v>99</v>
      </c>
      <c r="G170" s="105">
        <f t="shared" ref="G170:G171" si="67">B170/D170</f>
        <v>8.3333333333333329E-2</v>
      </c>
      <c r="I170" s="105">
        <f>B172/D172</f>
        <v>0.13207547169811321</v>
      </c>
      <c r="J170" s="105">
        <f>1-I170</f>
        <v>0.86792452830188682</v>
      </c>
    </row>
    <row r="171" spans="1:18" x14ac:dyDescent="0.25">
      <c r="A171" s="3" t="s">
        <v>130</v>
      </c>
      <c r="B171" s="110">
        <f>COUNTIFS('Database kontormøbler - 2021'!$H$3:$H$55,'Utregning av grafer'!$A171,'Database kontormøbler - 2021'!$AT$3:$AT$55,1)+COUNTIFS('Database kontormøbler - 2021'!$H$3:$H$55,'Utregning av grafer'!$A171,'Database kontormøbler - 2021'!$AT$3:$AT$55,2)</f>
        <v>0</v>
      </c>
      <c r="C171" s="3">
        <f>COUNTIFS('Database kontormøbler - 2021'!$H$3:$H$55,'Utregning av grafer'!$A171,'Database kontormøbler - 2021'!$AT$3:$AT$55,0)</f>
        <v>3</v>
      </c>
      <c r="D171" s="3">
        <f t="shared" ref="D171" si="68">SUM(B171:C171)</f>
        <v>3</v>
      </c>
      <c r="F171" s="3" t="s">
        <v>130</v>
      </c>
      <c r="G171" s="105">
        <f t="shared" si="67"/>
        <v>0</v>
      </c>
    </row>
    <row r="172" spans="1:18" x14ac:dyDescent="0.25">
      <c r="A172" s="3" t="s">
        <v>562</v>
      </c>
      <c r="B172" s="3">
        <f>SUM(B169:B171)</f>
        <v>7</v>
      </c>
      <c r="C172" s="3">
        <f>SUM(C169:C171)</f>
        <v>46</v>
      </c>
      <c r="D172" s="3">
        <f>SUM(B172:C172)</f>
        <v>53</v>
      </c>
    </row>
    <row r="175" spans="1:18" x14ac:dyDescent="0.25">
      <c r="Q175" s="3" t="s">
        <v>668</v>
      </c>
      <c r="R175" s="3" t="s">
        <v>669</v>
      </c>
    </row>
    <row r="176" spans="1:18" x14ac:dyDescent="0.25">
      <c r="A176" s="102" t="s">
        <v>668</v>
      </c>
      <c r="B176" s="4" t="s">
        <v>93</v>
      </c>
      <c r="C176" s="4">
        <v>0</v>
      </c>
      <c r="D176" s="4">
        <v>2</v>
      </c>
      <c r="E176" s="4">
        <v>3</v>
      </c>
      <c r="F176" s="4">
        <v>5</v>
      </c>
      <c r="G176" s="3" t="s">
        <v>627</v>
      </c>
      <c r="I176" t="s">
        <v>670</v>
      </c>
      <c r="Q176" s="3" t="s">
        <v>81</v>
      </c>
      <c r="R176" s="111">
        <f>+B$180/$G$180</f>
        <v>0.15094339622641509</v>
      </c>
    </row>
    <row r="177" spans="1:18" x14ac:dyDescent="0.25">
      <c r="A177" s="3" t="s">
        <v>80</v>
      </c>
      <c r="B177" s="3">
        <f>COUNTIFS('Database kontormøbler - 2021'!$H$3:$H$55,'Utregning av grafer'!$A177,'Database kontormøbler - 2021'!$AV$3:$AV$55,$B$176)+COUNTIFS('Database kontormøbler - 2021'!$H$3:$H$55,"Universitet/Høyskole",'Database kontormøbler - 2021'!$AV$3:$AV$55,$B$176)</f>
        <v>7</v>
      </c>
      <c r="C177" s="3">
        <f>COUNTIFS('Database kontormøbler - 2021'!$H$3:$H$55,'Utregning av grafer'!$A177,'Database kontormøbler - 2021'!$AV$3:$AV$55,$C$176)+COUNTIFS('Database kontormøbler - 2021'!$H$3:$H$55,"Universitet/Høyskole",'Database kontormøbler - 2021'!$AV$3:$AV$55,$C$176)</f>
        <v>1</v>
      </c>
      <c r="D177" s="3">
        <f>COUNTIFS('Database kontormøbler - 2021'!$H$3:$H$55,'Utregning av grafer'!$A177,'Database kontormøbler - 2021'!$AV$3:$AV$55,$D$176)+COUNTIFS('Database kontormøbler - 2021'!$H$3:$H$55,"Universitet/Høyskole",'Database kontormøbler - 2021'!$AV$3:$AV$55,$D$176)</f>
        <v>1</v>
      </c>
      <c r="E177" s="3">
        <f>COUNTIFS('Database kontormøbler - 2021'!$H$3:$H$55,'Utregning av grafer'!$A177,'Database kontormøbler - 2021'!$AV$3:$AV$55,$E$176)+COUNTIFS('Database kontormøbler - 2021'!$H$3:$H$55,"Universitet/Høyskole",'Database kontormøbler - 2021'!$AV$3:$AV$55,$E$176)</f>
        <v>1</v>
      </c>
      <c r="F177" s="3">
        <f>COUNTIFS('Database kontormøbler - 2021'!$H$3:$H$55,'Utregning av grafer'!$A177,'Database kontormøbler - 2021'!$AV$3:$AV$55,$F$176)+COUNTIFS('Database kontormøbler - 2021'!$H$3:$H$55,"Universitet/Høyskole",'Database kontormøbler - 2021'!$AV$3:$AV$55,$F$176)</f>
        <v>16</v>
      </c>
      <c r="G177" s="3">
        <f>SUM(B177:F177)</f>
        <v>26</v>
      </c>
      <c r="I177" s="3"/>
      <c r="J177" s="4" t="s">
        <v>81</v>
      </c>
      <c r="K177" s="4" t="s">
        <v>671</v>
      </c>
      <c r="L177" s="4" t="s">
        <v>672</v>
      </c>
      <c r="M177" s="4" t="s">
        <v>673</v>
      </c>
      <c r="N177" s="4" t="s">
        <v>674</v>
      </c>
      <c r="Q177" s="3" t="s">
        <v>671</v>
      </c>
      <c r="R177" s="111">
        <f>+C$180/$G$180</f>
        <v>3.7735849056603772E-2</v>
      </c>
    </row>
    <row r="178" spans="1:18" x14ac:dyDescent="0.25">
      <c r="A178" s="3" t="s">
        <v>99</v>
      </c>
      <c r="B178" s="3">
        <f>COUNTIFS('Database kontormøbler - 2021'!$H$3:$H$55,'Utregning av grafer'!$A178,'Database kontormøbler - 2021'!$AV$3:$AV$55,$B$176)</f>
        <v>0</v>
      </c>
      <c r="C178" s="3">
        <f>COUNTIFS('Database kontormøbler - 2021'!$H$3:$H$55,'Utregning av grafer'!$A178,'Database kontormøbler - 2021'!$AV$3:$AV$55,$C$176)</f>
        <v>1</v>
      </c>
      <c r="D178" s="3">
        <f>COUNTIFS('Database kontormøbler - 2021'!$H$3:$H$55,'Utregning av grafer'!$A178,'Database kontormøbler - 2021'!$AV$3:$AV$55,$D$176)</f>
        <v>5</v>
      </c>
      <c r="E178" s="3">
        <f>COUNTIFS('Database kontormøbler - 2021'!$H$3:$H$55,'Utregning av grafer'!$A178,'Database kontormøbler - 2021'!$AV$3:$AV$55,$E$176)</f>
        <v>0</v>
      </c>
      <c r="F178" s="3">
        <f>COUNTIFS('Database kontormøbler - 2021'!$H$3:$H$55,'Utregning av grafer'!$A178,'Database kontormøbler - 2021'!$AV$3:$AV$55,$F$176)</f>
        <v>18</v>
      </c>
      <c r="G178" s="3">
        <f>SUM(B178:F178)</f>
        <v>24</v>
      </c>
      <c r="I178" s="3" t="s">
        <v>80</v>
      </c>
      <c r="J178" s="111">
        <f>B$177/$G$177</f>
        <v>0.26923076923076922</v>
      </c>
      <c r="K178" s="111">
        <f t="shared" ref="K178:N178" si="69">C$177/$G$177</f>
        <v>3.8461538461538464E-2</v>
      </c>
      <c r="L178" s="111">
        <f>D$177/$G$177</f>
        <v>3.8461538461538464E-2</v>
      </c>
      <c r="M178" s="111">
        <f t="shared" si="69"/>
        <v>3.8461538461538464E-2</v>
      </c>
      <c r="N178" s="111">
        <f t="shared" si="69"/>
        <v>0.61538461538461542</v>
      </c>
      <c r="Q178" s="3" t="s">
        <v>672</v>
      </c>
      <c r="R178" s="111">
        <f>+D$180/$G$180</f>
        <v>0.15094339622641509</v>
      </c>
    </row>
    <row r="179" spans="1:18" x14ac:dyDescent="0.25">
      <c r="A179" s="3" t="s">
        <v>130</v>
      </c>
      <c r="B179" s="3">
        <f>COUNTIFS('Database kontormøbler - 2021'!$H$3:$H$55,'Utregning av grafer'!$A179,'Database kontormøbler - 2021'!$AV$3:$AV$55,$B$176)</f>
        <v>1</v>
      </c>
      <c r="C179" s="3">
        <f>COUNTIFS('Database kontormøbler - 2021'!$H$3:$H$55,'Utregning av grafer'!$A179,'Database kontormøbler - 2021'!$AV$3:$AV$55,$C$176)</f>
        <v>0</v>
      </c>
      <c r="D179" s="3">
        <f>COUNTIFS('Database kontormøbler - 2021'!$H$3:$H$55,'Utregning av grafer'!$A179,'Database kontormøbler - 2021'!$AV$3:$AV$55,$D$176)</f>
        <v>2</v>
      </c>
      <c r="E179" s="3">
        <f>COUNTIFS('Database kontormøbler - 2021'!$H$3:$H$55,'Utregning av grafer'!$A179,'Database kontormøbler - 2021'!$AV$3:$AV$55,$E$176)</f>
        <v>0</v>
      </c>
      <c r="F179" s="3">
        <f>COUNTIFS('Database kontormøbler - 2021'!$H$3:$H$55,'Utregning av grafer'!$A179,'Database kontormøbler - 2021'!$AV$3:$AV$55,$F$176)</f>
        <v>0</v>
      </c>
      <c r="G179" s="3">
        <f>SUM(B179:F179)</f>
        <v>3</v>
      </c>
      <c r="I179" s="3" t="s">
        <v>99</v>
      </c>
      <c r="J179" s="111">
        <f>B178/$G$178</f>
        <v>0</v>
      </c>
      <c r="K179" s="111">
        <f t="shared" ref="K179:M179" si="70">C178/$G$178</f>
        <v>4.1666666666666664E-2</v>
      </c>
      <c r="L179" s="111">
        <f t="shared" si="70"/>
        <v>0.20833333333333334</v>
      </c>
      <c r="M179" s="111">
        <f t="shared" si="70"/>
        <v>0</v>
      </c>
      <c r="N179" s="111">
        <f>F178/$G$178</f>
        <v>0.75</v>
      </c>
      <c r="Q179" s="3" t="s">
        <v>673</v>
      </c>
      <c r="R179" s="111">
        <f>+E$180/$G$180</f>
        <v>1.8867924528301886E-2</v>
      </c>
    </row>
    <row r="180" spans="1:18" x14ac:dyDescent="0.25">
      <c r="A180" s="3" t="s">
        <v>562</v>
      </c>
      <c r="B180" s="3">
        <f>SUM(B177:B179)</f>
        <v>8</v>
      </c>
      <c r="C180" s="3">
        <f t="shared" ref="C180:E180" si="71">SUM(C177:C179)</f>
        <v>2</v>
      </c>
      <c r="D180" s="3">
        <f t="shared" si="71"/>
        <v>8</v>
      </c>
      <c r="E180" s="3">
        <f t="shared" si="71"/>
        <v>1</v>
      </c>
      <c r="F180" s="3">
        <f>SUM(F177:F179)</f>
        <v>34</v>
      </c>
      <c r="G180" s="3">
        <f>SUM(B180:F180)</f>
        <v>53</v>
      </c>
      <c r="I180" s="3" t="s">
        <v>130</v>
      </c>
      <c r="J180" s="111">
        <f>B179/$G$179</f>
        <v>0.33333333333333331</v>
      </c>
      <c r="K180" s="111">
        <f t="shared" ref="K180:N180" si="72">C179/$G$179</f>
        <v>0</v>
      </c>
      <c r="L180" s="111">
        <f t="shared" si="72"/>
        <v>0.66666666666666663</v>
      </c>
      <c r="M180" s="111">
        <f t="shared" si="72"/>
        <v>0</v>
      </c>
      <c r="N180" s="111">
        <f t="shared" si="72"/>
        <v>0</v>
      </c>
      <c r="Q180" s="3" t="s">
        <v>674</v>
      </c>
      <c r="R180" s="111">
        <f>+F$180/$G$180</f>
        <v>0.64150943396226412</v>
      </c>
    </row>
    <row r="184" spans="1:18" ht="75" x14ac:dyDescent="0.25">
      <c r="A184" s="102" t="s">
        <v>675</v>
      </c>
      <c r="B184" s="5" t="s">
        <v>676</v>
      </c>
      <c r="C184" s="5" t="s">
        <v>677</v>
      </c>
      <c r="D184" s="3" t="s">
        <v>573</v>
      </c>
      <c r="E184" s="3" t="s">
        <v>562</v>
      </c>
      <c r="G184" s="3" t="s">
        <v>7</v>
      </c>
      <c r="H184" s="5" t="s">
        <v>678</v>
      </c>
      <c r="I184" s="5" t="s">
        <v>655</v>
      </c>
      <c r="J184" s="5" t="s">
        <v>656</v>
      </c>
      <c r="L184" s="5" t="s">
        <v>679</v>
      </c>
      <c r="M184" s="5" t="s">
        <v>658</v>
      </c>
    </row>
    <row r="185" spans="1:18" x14ac:dyDescent="0.25">
      <c r="A185" s="3" t="s">
        <v>80</v>
      </c>
      <c r="B185" s="110">
        <f>COUNTIFS('Database kontormøbler - 2021'!$H$3:$H$55,'Utregning av grafer'!$A185,'Database kontormøbler - 2021'!$AW$3:$AW$55,1)+COUNTIFS('Database kontormøbler - 2021'!$H$3:$H$55,"Universitet/Høyskole",'Database kontormøbler - 2021'!$AW$3:$AW$55,1)</f>
        <v>7</v>
      </c>
      <c r="C185" s="110">
        <f>+COUNTIFS('Database kontormøbler - 2021'!$H$3:$H$55,'Utregning av grafer'!$A185,'Database kontormøbler - 2021'!$AW$3:$AW$55,2)+COUNTIFS('Database kontormøbler - 2021'!$H$3:$H$55,"Universitet/Høyskole",'Database kontormøbler - 2021'!$AW$3:$AW$55,2)</f>
        <v>1</v>
      </c>
      <c r="D185" s="110">
        <f>+COUNTIFS('Database kontormøbler - 2021'!$H$3:$H$55,'Utregning av grafer'!$A185,'Database kontormøbler - 2021'!$AW$3:$AW$55,0)+COUNTIFS('Database kontormøbler - 2021'!$H$3:$H$55,"Universitet/Høyskole",'Database kontormøbler - 2021'!$AW$3:$AW$55,0)</f>
        <v>18</v>
      </c>
      <c r="E185" s="3">
        <f>SUM(B185:D185)</f>
        <v>26</v>
      </c>
      <c r="G185" s="3" t="s">
        <v>80</v>
      </c>
      <c r="H185" s="105">
        <f>B185/$E$185</f>
        <v>0.26923076923076922</v>
      </c>
      <c r="I185" s="105">
        <f t="shared" ref="I185" si="73">C185/$E$185</f>
        <v>3.8461538461538464E-2</v>
      </c>
      <c r="J185" s="105">
        <f>D185/$E$185</f>
        <v>0.69230769230769229</v>
      </c>
      <c r="L185" s="105">
        <f>(B188+C188)/E188</f>
        <v>0.50943396226415094</v>
      </c>
      <c r="M185" s="105">
        <f>1-L185</f>
        <v>0.49056603773584906</v>
      </c>
    </row>
    <row r="186" spans="1:18" x14ac:dyDescent="0.25">
      <c r="A186" s="3" t="s">
        <v>99</v>
      </c>
      <c r="B186" s="3">
        <f>COUNTIFS('Database kontormøbler - 2021'!$H$3:$H$55,'Utregning av grafer'!$A186,'Database kontormøbler - 2021'!$AW$3:$AW$55,1)</f>
        <v>10</v>
      </c>
      <c r="C186" s="3">
        <f>+COUNTIFS('Database kontormøbler - 2021'!$H$3:$H$55,'Utregning av grafer'!$A186,'Database kontormøbler - 2021'!$AW$3:$AW$55,2)</f>
        <v>6</v>
      </c>
      <c r="D186" s="3">
        <f>+COUNTIFS('Database kontormøbler - 2021'!$H$3:$H$55,'Utregning av grafer'!$A186,'Database kontormøbler - 2021'!$AW$3:$AW$55,0)</f>
        <v>8</v>
      </c>
      <c r="E186" s="3">
        <f>SUM(B186:D186)</f>
        <v>24</v>
      </c>
      <c r="G186" s="3" t="s">
        <v>99</v>
      </c>
      <c r="H186" s="105">
        <f>B186/$E$186</f>
        <v>0.41666666666666669</v>
      </c>
      <c r="I186" s="105">
        <f t="shared" ref="I186:J186" si="74">C186/$E$186</f>
        <v>0.25</v>
      </c>
      <c r="J186" s="105">
        <f t="shared" si="74"/>
        <v>0.33333333333333331</v>
      </c>
    </row>
    <row r="187" spans="1:18" x14ac:dyDescent="0.25">
      <c r="A187" s="3" t="s">
        <v>130</v>
      </c>
      <c r="B187" s="3">
        <f>COUNTIFS('Database kontormøbler - 2021'!$H$3:$H$55,'Utregning av grafer'!$A187,'Database kontormøbler - 2021'!$AW$3:$AW$55,1)</f>
        <v>3</v>
      </c>
      <c r="C187" s="3">
        <f>+COUNTIFS('Database kontormøbler - 2021'!$H$3:$H$55,'Utregning av grafer'!$A187,'Database kontormøbler - 2021'!$AW$3:$AW$55,2)</f>
        <v>0</v>
      </c>
      <c r="D187" s="3">
        <f>+COUNTIFS('Database kontormøbler - 2021'!$H$3:$H$55,'Utregning av grafer'!$A187,'Database kontormøbler - 2021'!$AW$3:$AW$55,0)</f>
        <v>0</v>
      </c>
      <c r="E187" s="3">
        <f>SUM(B187:D187)</f>
        <v>3</v>
      </c>
      <c r="G187" s="3" t="s">
        <v>130</v>
      </c>
      <c r="H187" s="105">
        <f>B187/$E$187</f>
        <v>1</v>
      </c>
      <c r="I187" s="105">
        <f t="shared" ref="I187:J187" si="75">C187/$E$187</f>
        <v>0</v>
      </c>
      <c r="J187" s="105">
        <f t="shared" si="75"/>
        <v>0</v>
      </c>
    </row>
    <row r="188" spans="1:18" x14ac:dyDescent="0.25">
      <c r="A188" s="3" t="s">
        <v>627</v>
      </c>
      <c r="B188" s="3">
        <f>SUM(B185:B187)</f>
        <v>20</v>
      </c>
      <c r="C188" s="3">
        <f t="shared" ref="C188" si="76">SUM(C185:C187)</f>
        <v>7</v>
      </c>
      <c r="D188" s="3">
        <f t="shared" ref="D188" si="77">SUM(D185:D187)</f>
        <v>26</v>
      </c>
      <c r="E188" s="3">
        <f>SUM(E185:E187)</f>
        <v>53</v>
      </c>
    </row>
    <row r="192" spans="1:18" ht="42.95" customHeight="1" x14ac:dyDescent="0.25">
      <c r="A192" s="102" t="s">
        <v>629</v>
      </c>
      <c r="B192" s="3"/>
    </row>
    <row r="193" spans="1:13" ht="45" x14ac:dyDescent="0.25">
      <c r="A193" s="5" t="s">
        <v>680</v>
      </c>
      <c r="B193" s="5" t="s">
        <v>650</v>
      </c>
    </row>
    <row r="194" spans="1:13" x14ac:dyDescent="0.25">
      <c r="A194" s="105">
        <f>COUNTIF(Tabell2[Bruk av resirkulert materiale/resirkulert andel ],1)/E188</f>
        <v>5.6603773584905662E-2</v>
      </c>
      <c r="B194" s="105">
        <f>1-A194</f>
        <v>0.94339622641509435</v>
      </c>
    </row>
    <row r="198" spans="1:13" ht="100.5" customHeight="1" x14ac:dyDescent="0.25">
      <c r="A198" s="102" t="s">
        <v>681</v>
      </c>
      <c r="B198" s="5" t="s">
        <v>682</v>
      </c>
      <c r="C198" s="5" t="s">
        <v>683</v>
      </c>
      <c r="D198" s="3" t="s">
        <v>573</v>
      </c>
      <c r="E198" s="3" t="s">
        <v>562</v>
      </c>
      <c r="G198" s="3" t="s">
        <v>7</v>
      </c>
      <c r="H198" s="5" t="s">
        <v>684</v>
      </c>
      <c r="I198" s="5" t="s">
        <v>685</v>
      </c>
      <c r="J198" s="5" t="s">
        <v>656</v>
      </c>
      <c r="L198" s="5" t="s">
        <v>686</v>
      </c>
      <c r="M198" s="5" t="s">
        <v>658</v>
      </c>
    </row>
    <row r="199" spans="1:13" x14ac:dyDescent="0.25">
      <c r="A199" s="3" t="s">
        <v>80</v>
      </c>
      <c r="B199" s="3">
        <f>COUNTIFS('Database kontormøbler - 2021'!$H$3:$H$55,'Utregning av grafer'!$A199,'Database kontormøbler - 2021'!$BA$3:$BA$55,1)+COUNTIFS('Database kontormøbler - 2021'!$H$3:$H$55,"Universitet/Høyskole",'Database kontormøbler - 2021'!$BA$3:$BA$55,1)</f>
        <v>2</v>
      </c>
      <c r="C199" s="3">
        <f>+COUNTIFS('Database kontormøbler - 2021'!$H$3:$H$55,'Utregning av grafer'!$A199,'Database kontormøbler - 2021'!$BA$3:$BA$55,2)+COUNTIFS('Database kontormøbler - 2021'!$H$3:$H$55,"Universitet/Høyskole",'Database kontormøbler - 2021'!$BA$3:$BA$55,2)</f>
        <v>4</v>
      </c>
      <c r="D199" s="3">
        <f>+COUNTIFS('Database kontormøbler - 2021'!$H$3:$H$55,'Utregning av grafer'!$A199,'Database kontormøbler - 2021'!$BA$3:$BA$55,0)+COUNTIFS('Database kontormøbler - 2021'!$H$3:$H$55,"Universitet/Høyskole",'Database kontormøbler - 2021'!$BA$3:$BA$55,0)</f>
        <v>20</v>
      </c>
      <c r="E199" s="3">
        <f>SUM(B199:D199)</f>
        <v>26</v>
      </c>
      <c r="G199" s="3" t="s">
        <v>80</v>
      </c>
      <c r="H199" s="105">
        <f>B199/$E$199</f>
        <v>7.6923076923076927E-2</v>
      </c>
      <c r="I199" s="105">
        <f t="shared" ref="I199:J199" si="78">C199/$E$199</f>
        <v>0.15384615384615385</v>
      </c>
      <c r="J199" s="105">
        <f t="shared" si="78"/>
        <v>0.76923076923076927</v>
      </c>
      <c r="L199" s="105">
        <f>(B202+C202)/E202</f>
        <v>0.35849056603773582</v>
      </c>
      <c r="M199" s="105">
        <f>1-L199</f>
        <v>0.64150943396226423</v>
      </c>
    </row>
    <row r="200" spans="1:13" x14ac:dyDescent="0.25">
      <c r="A200" s="3" t="s">
        <v>99</v>
      </c>
      <c r="B200" s="3">
        <f>COUNTIFS('Database kontormøbler - 2021'!$H$3:$H$55,'Utregning av grafer'!$A200,'Database kontormøbler - 2021'!$BA$3:$BA$55,1)</f>
        <v>3</v>
      </c>
      <c r="C200" s="3">
        <f>+COUNTIFS('Database kontormøbler - 2021'!$H$3:$H$55,'Utregning av grafer'!$A200,'Database kontormøbler - 2021'!$BA$3:$BA$55,2)</f>
        <v>7</v>
      </c>
      <c r="D200" s="3">
        <f>+COUNTIFS('Database kontormøbler - 2021'!$H$3:$H$55,'Utregning av grafer'!$A200,'Database kontormøbler - 2021'!$BA$3:$BA$55,0)</f>
        <v>14</v>
      </c>
      <c r="E200" s="3">
        <f>SUM(B200:D200)</f>
        <v>24</v>
      </c>
      <c r="G200" s="3" t="s">
        <v>99</v>
      </c>
      <c r="H200" s="105">
        <f>B200/$E$200</f>
        <v>0.125</v>
      </c>
      <c r="I200" s="105">
        <f t="shared" ref="I200:J200" si="79">C200/$E$200</f>
        <v>0.29166666666666669</v>
      </c>
      <c r="J200" s="105">
        <f t="shared" si="79"/>
        <v>0.58333333333333337</v>
      </c>
    </row>
    <row r="201" spans="1:13" x14ac:dyDescent="0.25">
      <c r="A201" s="3" t="s">
        <v>130</v>
      </c>
      <c r="B201" s="3">
        <f>COUNTIFS('Database kontormøbler - 2021'!$H$3:$H$55,'Utregning av grafer'!$A201,'Database kontormøbler - 2021'!$BA$3:$BA$55,1)</f>
        <v>3</v>
      </c>
      <c r="C201" s="3">
        <f>+COUNTIFS('Database kontormøbler - 2021'!$H$3:$H$55,'Utregning av grafer'!$A201,'Database kontormøbler - 2021'!$BA$3:$BA$55,2)</f>
        <v>0</v>
      </c>
      <c r="D201" s="3">
        <f>+COUNTIFS('Database kontormøbler - 2021'!$H$3:$H$55,'Utregning av grafer'!$A201,'Database kontormøbler - 2021'!$BA$3:$BA$55,0)</f>
        <v>0</v>
      </c>
      <c r="E201" s="3">
        <f>SUM(B201:D201)</f>
        <v>3</v>
      </c>
      <c r="G201" s="3" t="s">
        <v>130</v>
      </c>
      <c r="H201" s="105">
        <f>B201/$E$201</f>
        <v>1</v>
      </c>
      <c r="I201" s="105">
        <f t="shared" ref="I201:J201" si="80">C201/$E$201</f>
        <v>0</v>
      </c>
      <c r="J201" s="105">
        <f t="shared" si="80"/>
        <v>0</v>
      </c>
    </row>
    <row r="202" spans="1:13" x14ac:dyDescent="0.25">
      <c r="A202" s="3" t="s">
        <v>627</v>
      </c>
      <c r="B202" s="3">
        <f>SUM(B199:B201)</f>
        <v>8</v>
      </c>
      <c r="C202" s="3">
        <f t="shared" ref="C202" si="81">SUM(C199:C201)</f>
        <v>11</v>
      </c>
      <c r="D202" s="3">
        <f t="shared" ref="D202" si="82">SUM(D199:D201)</f>
        <v>34</v>
      </c>
      <c r="E202" s="3">
        <f>SUM(E199:E201)</f>
        <v>53</v>
      </c>
    </row>
    <row r="206" spans="1:13" ht="75" x14ac:dyDescent="0.25">
      <c r="A206" s="102" t="s">
        <v>687</v>
      </c>
      <c r="B206" s="5" t="s">
        <v>688</v>
      </c>
      <c r="C206" s="5" t="s">
        <v>689</v>
      </c>
      <c r="D206" s="3" t="s">
        <v>573</v>
      </c>
      <c r="E206" s="3" t="s">
        <v>562</v>
      </c>
      <c r="G206" s="3" t="s">
        <v>7</v>
      </c>
      <c r="H206" s="5" t="s">
        <v>690</v>
      </c>
      <c r="I206" s="5" t="s">
        <v>691</v>
      </c>
      <c r="J206" s="5" t="s">
        <v>656</v>
      </c>
      <c r="L206" s="5" t="s">
        <v>692</v>
      </c>
      <c r="M206" s="5" t="s">
        <v>658</v>
      </c>
    </row>
    <row r="207" spans="1:13" x14ac:dyDescent="0.25">
      <c r="A207" s="3" t="s">
        <v>80</v>
      </c>
      <c r="B207" s="110">
        <f>COUNTIFS('Database kontormøbler - 2021'!$H$3:$H$55,'Utregning av grafer'!$A207,'Database kontormøbler - 2021'!$BB$3:$BB$55,1)+COUNTIFS('Database kontormøbler - 2021'!$H$3:$H$55,"Universitet/Høyskole",'Database kontormøbler - 2021'!$BB$3:$BB$55,1)</f>
        <v>13</v>
      </c>
      <c r="C207" s="110">
        <f>+COUNTIFS('Database kontormøbler - 2021'!$H$3:$H$55,'Utregning av grafer'!$A207,'Database kontormøbler - 2021'!$BB$3:$BB$55,2)+COUNTIFS('Database kontormøbler - 2021'!$H$3:$H$55,"Universitet/Høyskole",'Database kontormøbler - 2021'!$BB$3:$BB$55,2)</f>
        <v>7</v>
      </c>
      <c r="D207" s="110">
        <f>+COUNTIFS('Database kontormøbler - 2021'!$H$3:$H$55,'Utregning av grafer'!$A207,'Database kontormøbler - 2021'!$BB$3:$BB$55,0)+COUNTIFS('Database kontormøbler - 2021'!$H$3:$H$55,"Universitet/Høyskole",'Database kontormøbler - 2021'!$BB$3:$BB$55,0)</f>
        <v>6</v>
      </c>
      <c r="E207" s="3">
        <f>SUM(B207:D207)</f>
        <v>26</v>
      </c>
      <c r="G207" s="3" t="s">
        <v>80</v>
      </c>
      <c r="H207" s="105">
        <f>B207/$E$207</f>
        <v>0.5</v>
      </c>
      <c r="I207" s="105">
        <f t="shared" ref="I207:J207" si="83">C207/$E$210</f>
        <v>0.13207547169811321</v>
      </c>
      <c r="J207" s="105">
        <f t="shared" si="83"/>
        <v>0.11320754716981132</v>
      </c>
      <c r="L207" s="105">
        <f>(B210+C210)/E210</f>
        <v>0.83018867924528306</v>
      </c>
      <c r="M207" s="105">
        <f>1-L207</f>
        <v>0.16981132075471694</v>
      </c>
    </row>
    <row r="208" spans="1:13" x14ac:dyDescent="0.25">
      <c r="A208" s="3" t="s">
        <v>99</v>
      </c>
      <c r="B208" s="3">
        <f>COUNTIFS('Database kontormøbler - 2021'!$H$3:$H$55,'Utregning av grafer'!$A208,'Database kontormøbler - 2021'!$BB$3:$BB$55,1)</f>
        <v>14</v>
      </c>
      <c r="C208" s="3">
        <f>+COUNTIFS('Database kontormøbler - 2021'!$H$3:$H$55,'Utregning av grafer'!$A208,'Database kontormøbler - 2021'!$BB$3:$BB$55,2)</f>
        <v>7</v>
      </c>
      <c r="D208" s="3">
        <f>+COUNTIFS('Database kontormøbler - 2021'!$H$3:$H$55,'Utregning av grafer'!$A208,'Database kontormøbler - 2021'!$BB$3:$BB$55,0)</f>
        <v>3</v>
      </c>
      <c r="E208" s="3">
        <f>SUM(B208:D208)</f>
        <v>24</v>
      </c>
      <c r="G208" s="3" t="s">
        <v>99</v>
      </c>
      <c r="H208" s="105">
        <f>B208/$E$208</f>
        <v>0.58333333333333337</v>
      </c>
      <c r="I208" s="105">
        <f t="shared" ref="I208:I209" si="84">C208/$E$210</f>
        <v>0.13207547169811321</v>
      </c>
      <c r="J208" s="105">
        <f t="shared" ref="J208:J209" si="85">D208/$E$210</f>
        <v>5.6603773584905662E-2</v>
      </c>
    </row>
    <row r="209" spans="1:18" x14ac:dyDescent="0.25">
      <c r="A209" s="3" t="s">
        <v>130</v>
      </c>
      <c r="B209" s="3">
        <f>COUNTIFS('Database kontormøbler - 2021'!$H$3:$H$55,'Utregning av grafer'!$A209,'Database kontormøbler - 2021'!$BB$3:$BB$55,1)</f>
        <v>3</v>
      </c>
      <c r="C209" s="3">
        <f>+COUNTIFS('Database kontormøbler - 2021'!$H$3:$H$55,'Utregning av grafer'!$A209,'Database kontormøbler - 2021'!$BB$3:$BB$55,2)</f>
        <v>0</v>
      </c>
      <c r="D209" s="3">
        <f>+COUNTIFS('Database kontormøbler - 2021'!$H$3:$H$55,'Utregning av grafer'!$A209,'Database kontormøbler - 2021'!$BB$3:$BB$55,0)</f>
        <v>0</v>
      </c>
      <c r="E209" s="3">
        <f>SUM(B209:D209)</f>
        <v>3</v>
      </c>
      <c r="G209" s="3" t="s">
        <v>130</v>
      </c>
      <c r="H209" s="105">
        <f>B209/$E$209</f>
        <v>1</v>
      </c>
      <c r="I209" s="105">
        <f t="shared" si="84"/>
        <v>0</v>
      </c>
      <c r="J209" s="105">
        <f t="shared" si="85"/>
        <v>0</v>
      </c>
    </row>
    <row r="210" spans="1:18" x14ac:dyDescent="0.25">
      <c r="A210" s="3" t="s">
        <v>627</v>
      </c>
      <c r="B210" s="3">
        <f>SUM(B207:B209)</f>
        <v>30</v>
      </c>
      <c r="C210" s="3">
        <f t="shared" ref="C210" si="86">SUM(C207:C209)</f>
        <v>14</v>
      </c>
      <c r="D210" s="3">
        <f t="shared" ref="D210" si="87">SUM(D207:D209)</f>
        <v>9</v>
      </c>
      <c r="E210" s="3">
        <f>SUM(E207:E209)</f>
        <v>53</v>
      </c>
    </row>
    <row r="214" spans="1:18" ht="33.950000000000003" customHeight="1" x14ac:dyDescent="0.25">
      <c r="A214" s="62" t="s">
        <v>693</v>
      </c>
      <c r="F214" s="44" t="s">
        <v>624</v>
      </c>
      <c r="G214" s="44"/>
      <c r="H214" s="44"/>
    </row>
    <row r="215" spans="1:18" ht="45" x14ac:dyDescent="0.25">
      <c r="A215" s="5" t="s">
        <v>694</v>
      </c>
      <c r="B215" s="5" t="s">
        <v>695</v>
      </c>
      <c r="C215" s="3" t="s">
        <v>627</v>
      </c>
      <c r="E215" s="3"/>
      <c r="F215" s="5" t="s">
        <v>55</v>
      </c>
      <c r="G215" s="5" t="s">
        <v>56</v>
      </c>
      <c r="H215" s="5" t="s">
        <v>696</v>
      </c>
      <c r="I215" s="5" t="s">
        <v>58</v>
      </c>
      <c r="J215" s="5" t="s">
        <v>59</v>
      </c>
      <c r="K215" s="5" t="s">
        <v>60</v>
      </c>
      <c r="L215" s="5" t="s">
        <v>61</v>
      </c>
      <c r="M215" s="5" t="s">
        <v>62</v>
      </c>
      <c r="N215" s="5" t="s">
        <v>63</v>
      </c>
      <c r="O215" s="5" t="s">
        <v>64</v>
      </c>
      <c r="P215" s="5" t="s">
        <v>65</v>
      </c>
      <c r="Q215" s="5" t="s">
        <v>66</v>
      </c>
      <c r="R215" s="5" t="s">
        <v>67</v>
      </c>
    </row>
    <row r="216" spans="1:18" x14ac:dyDescent="0.25">
      <c r="A216" s="3">
        <f>COUNTIF('Database kontormøbler - 2021'!$BD$3:$BD$55,1)</f>
        <v>36</v>
      </c>
      <c r="B216" s="3">
        <f>COUNTIF('Database kontormøbler - 2021'!$BD$3:$BD$55,0)</f>
        <v>17</v>
      </c>
      <c r="C216" s="3">
        <f>+A216+B216</f>
        <v>53</v>
      </c>
      <c r="E216" s="3" t="s">
        <v>572</v>
      </c>
      <c r="F216" s="113">
        <f>COUNTIF('Database kontormøbler - 2021'!BE3:BE55,1)+COUNTIF('Database kontormøbler - 2021'!BE3:BE55,2)</f>
        <v>22</v>
      </c>
      <c r="G216" s="113">
        <f>COUNTIF('Database kontormøbler - 2021'!BF3:BF55,1)+COUNTIF('Database kontormøbler - 2021'!BF3:BF55,2)</f>
        <v>28</v>
      </c>
      <c r="H216" s="113">
        <f>COUNTIF('Database kontormøbler - 2021'!BG3:BG55,1)+COUNTIF('Database kontormøbler - 2021'!BG3:BG55,2)</f>
        <v>16</v>
      </c>
      <c r="I216" s="113">
        <f>COUNTIF('Database kontormøbler - 2021'!BH3:BH55,1)+COUNTIF('Database kontormøbler - 2021'!BH3:BH55,2)</f>
        <v>12</v>
      </c>
      <c r="J216" s="113">
        <f>COUNTIF('Database kontormøbler - 2021'!BI3:BI55,1)+COUNTIF('Database kontormøbler - 2021'!BI3:BI55,2)</f>
        <v>15</v>
      </c>
      <c r="K216" s="113">
        <f>COUNTIF('Database kontormøbler - 2021'!BJ3:BJ55,1)+COUNTIF('Database kontormøbler - 2021'!BJ3:BJ55,2)</f>
        <v>32</v>
      </c>
      <c r="L216" s="113">
        <f>COUNTIF('Database kontormøbler - 2021'!BK3:BK55,1)+COUNTIF('Database kontormøbler - 2021'!BK3:BK55,2)</f>
        <v>19</v>
      </c>
      <c r="M216" s="113">
        <f>COUNTIF('Database kontormøbler - 2021'!BL3:BL55,1)+COUNTIF('Database kontormøbler - 2021'!BL3:BL55,2)</f>
        <v>1</v>
      </c>
      <c r="N216" s="113">
        <f>COUNTIF('Database kontormøbler - 2021'!BM3:BM55,1)+COUNTIF('Database kontormøbler - 2021'!BM3:BM55,2)</f>
        <v>13</v>
      </c>
      <c r="O216" s="113">
        <f>COUNTIF('Database kontormøbler - 2021'!BN3:BN55,1)+COUNTIF('Database kontormøbler - 2021'!BN3:BN55,2)</f>
        <v>26</v>
      </c>
      <c r="P216" s="113">
        <f>COUNTIF('Database kontormøbler - 2021'!BO3:BO55,1)+COUNTIF('Database kontormøbler - 2021'!BO3:BO55,2)</f>
        <v>15</v>
      </c>
      <c r="Q216" s="113">
        <f>COUNTIF('Database kontormøbler - 2021'!BP3:BP55,1)+COUNTIF('Database kontormøbler - 2021'!BP3:BP55,2)</f>
        <v>13</v>
      </c>
      <c r="R216" s="113">
        <f>COUNTIF('Database kontormøbler - 2021'!BQ3:BQ55,1)+COUNTIF('Database kontormøbler - 2021'!BQ3:BQ55,2)</f>
        <v>0</v>
      </c>
    </row>
    <row r="217" spans="1:18" x14ac:dyDescent="0.25">
      <c r="A217" s="111">
        <f>A$99/C216</f>
        <v>0.86792452830188682</v>
      </c>
      <c r="B217" s="111">
        <f>B$99/C216</f>
        <v>0.13207547169811321</v>
      </c>
      <c r="E217" s="3" t="s">
        <v>631</v>
      </c>
      <c r="F217" s="113">
        <f>COUNTIF('Database kontormøbler - 2021'!BE3:BE55,0)</f>
        <v>31</v>
      </c>
      <c r="G217" s="113">
        <f>COUNTIF('Database kontormøbler - 2021'!BF3:BF55,0)</f>
        <v>25</v>
      </c>
      <c r="H217" s="113">
        <f>COUNTIF('Database kontormøbler - 2021'!BG3:BG55,0)</f>
        <v>37</v>
      </c>
      <c r="I217" s="113">
        <f>COUNTIF('Database kontormøbler - 2021'!BH3:BH55,0)</f>
        <v>41</v>
      </c>
      <c r="J217" s="113">
        <f>COUNTIF('Database kontormøbler - 2021'!BI3:BI55,0)</f>
        <v>38</v>
      </c>
      <c r="K217" s="113">
        <f>COUNTIF('Database kontormøbler - 2021'!BJ3:BJ55,0)</f>
        <v>21</v>
      </c>
      <c r="L217" s="113">
        <f>COUNTIF('Database kontormøbler - 2021'!BK3:BK55,0)</f>
        <v>34</v>
      </c>
      <c r="M217" s="113">
        <f>COUNTIF('Database kontormøbler - 2021'!BL3:BL55,0)</f>
        <v>52</v>
      </c>
      <c r="N217" s="113">
        <f>COUNTIF('Database kontormøbler - 2021'!BM3:BM55,0)</f>
        <v>40</v>
      </c>
      <c r="O217" s="113">
        <f>COUNTIF('Database kontormøbler - 2021'!BN3:BN55,0)</f>
        <v>27</v>
      </c>
      <c r="P217" s="113">
        <f>COUNTIF('Database kontormøbler - 2021'!BO3:BO55,0)</f>
        <v>38</v>
      </c>
      <c r="Q217" s="113">
        <f>COUNTIF('Database kontormøbler - 2021'!BP3:BP55,0)</f>
        <v>40</v>
      </c>
      <c r="R217" s="113">
        <f>COUNTIF('Database kontormøbler - 2021'!BQ3:BQ55,0)</f>
        <v>53</v>
      </c>
    </row>
    <row r="218" spans="1:18" ht="45" x14ac:dyDescent="0.25">
      <c r="E218" s="5" t="s">
        <v>697</v>
      </c>
      <c r="F218" s="111">
        <f>F$216/$C$216</f>
        <v>0.41509433962264153</v>
      </c>
      <c r="G218" s="111">
        <f>G$216/$C$216</f>
        <v>0.52830188679245282</v>
      </c>
      <c r="H218" s="111">
        <f>H$216/$C$216</f>
        <v>0.30188679245283018</v>
      </c>
      <c r="I218" s="111">
        <f t="shared" ref="I218:R218" si="88">I$216/$C$216</f>
        <v>0.22641509433962265</v>
      </c>
      <c r="J218" s="111">
        <f>(J$216+0.000000001)/$C$216</f>
        <v>0.2830188679433962</v>
      </c>
      <c r="K218" s="111">
        <f t="shared" si="88"/>
        <v>0.60377358490566035</v>
      </c>
      <c r="L218" s="111">
        <f t="shared" si="88"/>
        <v>0.35849056603773582</v>
      </c>
      <c r="M218" s="111">
        <f t="shared" si="88"/>
        <v>1.8867924528301886E-2</v>
      </c>
      <c r="N218" s="111">
        <f>(N$216+0.0000001)/$C$216</f>
        <v>0.24528302075471697</v>
      </c>
      <c r="O218" s="111">
        <f>O$216/$C$216</f>
        <v>0.49056603773584906</v>
      </c>
      <c r="P218" s="111">
        <f>P$216/$C$216</f>
        <v>0.28301886792452829</v>
      </c>
      <c r="Q218" s="111">
        <f>Q$216/$C$216</f>
        <v>0.24528301886792453</v>
      </c>
      <c r="R218" s="111">
        <f t="shared" si="88"/>
        <v>0</v>
      </c>
    </row>
    <row r="219" spans="1:18" x14ac:dyDescent="0.25">
      <c r="E219" s="3"/>
      <c r="F219" s="3">
        <f>_xlfn.RANK.EQ(F218,$F$218:$R$218)</f>
        <v>4</v>
      </c>
      <c r="G219" s="3">
        <f t="shared" ref="G219:R219" si="89">_xlfn.RANK.EQ(G218,$F$218:$R$218)</f>
        <v>2</v>
      </c>
      <c r="H219" s="3">
        <f t="shared" si="89"/>
        <v>6</v>
      </c>
      <c r="I219" s="3">
        <f t="shared" si="89"/>
        <v>11</v>
      </c>
      <c r="J219" s="3">
        <f t="shared" si="89"/>
        <v>7</v>
      </c>
      <c r="K219" s="3">
        <f t="shared" si="89"/>
        <v>1</v>
      </c>
      <c r="L219" s="3">
        <f t="shared" si="89"/>
        <v>5</v>
      </c>
      <c r="M219" s="3">
        <f t="shared" si="89"/>
        <v>12</v>
      </c>
      <c r="N219" s="3">
        <f t="shared" si="89"/>
        <v>9</v>
      </c>
      <c r="O219" s="3">
        <f t="shared" si="89"/>
        <v>3</v>
      </c>
      <c r="P219" s="3">
        <f t="shared" si="89"/>
        <v>8</v>
      </c>
      <c r="Q219" s="3">
        <f t="shared" si="89"/>
        <v>10</v>
      </c>
      <c r="R219" s="3">
        <f t="shared" si="89"/>
        <v>13</v>
      </c>
    </row>
    <row r="221" spans="1:18" x14ac:dyDescent="0.25">
      <c r="E221" s="3"/>
      <c r="F221" s="3">
        <v>1</v>
      </c>
      <c r="G221" s="3">
        <v>2</v>
      </c>
      <c r="H221" s="3">
        <v>3</v>
      </c>
      <c r="I221" s="3">
        <v>4</v>
      </c>
      <c r="J221" s="3">
        <v>5</v>
      </c>
      <c r="K221" s="3">
        <v>6</v>
      </c>
      <c r="L221" s="3">
        <v>7</v>
      </c>
      <c r="M221" s="3">
        <v>8</v>
      </c>
      <c r="N221" s="3">
        <v>9</v>
      </c>
      <c r="O221" s="3">
        <v>10</v>
      </c>
      <c r="P221" s="3">
        <v>11</v>
      </c>
      <c r="Q221" s="3">
        <v>12</v>
      </c>
      <c r="R221" s="3">
        <v>13</v>
      </c>
    </row>
    <row r="222" spans="1:18" ht="45" x14ac:dyDescent="0.25">
      <c r="E222" s="3"/>
      <c r="F222" s="5" t="str">
        <f>_xlfn.XLOOKUP(F221,$F$219:$R$219,$F$215:$R$215)</f>
        <v>Flammehemmere</v>
      </c>
      <c r="G222" s="5" t="str">
        <f t="shared" ref="G222:R222" si="90">_xlfn.XLOOKUP(G221,$F$219:$R$219,$F$215:$R$215)</f>
        <v>Produkt-forskriften</v>
      </c>
      <c r="H222" s="5" t="str">
        <f t="shared" si="90"/>
        <v>Krom (både 3/III og 6/IV)</v>
      </c>
      <c r="I222" s="5" t="str">
        <f t="shared" si="90"/>
        <v>REACH (prioritetslisten, kandidatlisten)</v>
      </c>
      <c r="J222" s="5" t="str">
        <f t="shared" si="90"/>
        <v>PVC</v>
      </c>
      <c r="K222" s="5" t="str">
        <f t="shared" si="90"/>
        <v xml:space="preserve">CLP-forordningen </v>
      </c>
      <c r="L222" s="5" t="str">
        <f t="shared" si="90"/>
        <v>Formaldehyd</v>
      </c>
      <c r="M222" s="5" t="str">
        <f t="shared" si="90"/>
        <v>Bly</v>
      </c>
      <c r="N222" s="5" t="str">
        <f t="shared" si="90"/>
        <v>Kvikksølv</v>
      </c>
      <c r="O222" s="5" t="str">
        <f t="shared" si="90"/>
        <v>Kadmium</v>
      </c>
      <c r="P222" s="5" t="str">
        <f t="shared" si="90"/>
        <v>VOC</v>
      </c>
      <c r="Q222" s="5" t="str">
        <f t="shared" si="90"/>
        <v>Tungmetaller</v>
      </c>
      <c r="R222" s="5" t="str">
        <f t="shared" si="90"/>
        <v>Tinn</v>
      </c>
    </row>
    <row r="223" spans="1:18" ht="69" customHeight="1" x14ac:dyDescent="0.25">
      <c r="E223" s="5" t="s">
        <v>697</v>
      </c>
      <c r="F223" s="114">
        <f>_xlfn.XLOOKUP(F221,$F$219:$R$219,$F$218:$R$218)</f>
        <v>0.60377358490566035</v>
      </c>
      <c r="G223" s="114">
        <f t="shared" ref="G223:R223" si="91">_xlfn.XLOOKUP(G221,$F$219:$R$219,$F$218:$R$218)</f>
        <v>0.52830188679245282</v>
      </c>
      <c r="H223" s="114">
        <f t="shared" si="91"/>
        <v>0.49056603773584906</v>
      </c>
      <c r="I223" s="114">
        <f t="shared" si="91"/>
        <v>0.41509433962264153</v>
      </c>
      <c r="J223" s="114">
        <f t="shared" si="91"/>
        <v>0.35849056603773582</v>
      </c>
      <c r="K223" s="114">
        <f t="shared" si="91"/>
        <v>0.30188679245283018</v>
      </c>
      <c r="L223" s="114">
        <f t="shared" si="91"/>
        <v>0.2830188679433962</v>
      </c>
      <c r="M223" s="114">
        <f t="shared" si="91"/>
        <v>0.28301886792452829</v>
      </c>
      <c r="N223" s="114">
        <f t="shared" si="91"/>
        <v>0.24528302075471697</v>
      </c>
      <c r="O223" s="114">
        <f t="shared" si="91"/>
        <v>0.24528301886792453</v>
      </c>
      <c r="P223" s="114">
        <f t="shared" si="91"/>
        <v>0.22641509433962265</v>
      </c>
      <c r="Q223" s="114">
        <f t="shared" si="91"/>
        <v>1.8867924528301886E-2</v>
      </c>
      <c r="R223" s="114">
        <f t="shared" si="91"/>
        <v>0</v>
      </c>
    </row>
    <row r="227" spans="1:10" ht="51" customHeight="1" x14ac:dyDescent="0.25">
      <c r="A227" s="62" t="s">
        <v>698</v>
      </c>
    </row>
    <row r="228" spans="1:10" ht="75" x14ac:dyDescent="0.25">
      <c r="A228" s="3" t="s">
        <v>7</v>
      </c>
      <c r="B228" s="5" t="s">
        <v>699</v>
      </c>
      <c r="C228" s="5" t="s">
        <v>700</v>
      </c>
      <c r="D228" s="5" t="s">
        <v>701</v>
      </c>
      <c r="E228" s="5" t="s">
        <v>627</v>
      </c>
    </row>
    <row r="229" spans="1:10" x14ac:dyDescent="0.25">
      <c r="A229" s="3" t="s">
        <v>541</v>
      </c>
      <c r="B229" s="115">
        <f>COUNTIF(Tabell2[Kjemikalietabellen (unngå skadelige kjemikaler)],0)</f>
        <v>38</v>
      </c>
      <c r="C229" s="115">
        <f>COUNTIF(Tabell2[Kjemikalietabellen (unngå skadelige kjemikaler)],1)</f>
        <v>2</v>
      </c>
      <c r="D229" s="115">
        <f>COUNTIF(Tabell2[Kjemikalietabellen (unngå skadelige kjemikaler)],2)</f>
        <v>13</v>
      </c>
      <c r="E229" s="116">
        <f>SUM(B229:D229)</f>
        <v>53</v>
      </c>
    </row>
    <row r="230" spans="1:10" x14ac:dyDescent="0.25">
      <c r="A230" s="3" t="s">
        <v>374</v>
      </c>
      <c r="B230" s="111">
        <f>+B229/$E$229</f>
        <v>0.71698113207547165</v>
      </c>
      <c r="C230" s="111">
        <f>+C229/$E$229</f>
        <v>3.7735849056603772E-2</v>
      </c>
      <c r="D230" s="111">
        <f>+D229/$E$229</f>
        <v>0.24528301886792453</v>
      </c>
      <c r="E230" s="118">
        <f>+C230+D230</f>
        <v>0.28301886792452829</v>
      </c>
    </row>
    <row r="234" spans="1:10" ht="41.25" customHeight="1" x14ac:dyDescent="0.25">
      <c r="A234" s="102" t="s">
        <v>702</v>
      </c>
      <c r="B234" s="3" t="s">
        <v>572</v>
      </c>
      <c r="C234" s="3" t="s">
        <v>573</v>
      </c>
      <c r="D234" s="3" t="s">
        <v>562</v>
      </c>
      <c r="F234" s="3" t="s">
        <v>7</v>
      </c>
      <c r="G234" s="3" t="s">
        <v>563</v>
      </c>
      <c r="I234" s="143" t="s">
        <v>568</v>
      </c>
      <c r="J234" s="143"/>
    </row>
    <row r="235" spans="1:10" ht="75" x14ac:dyDescent="0.25">
      <c r="A235" s="3" t="s">
        <v>80</v>
      </c>
      <c r="B235" s="3">
        <f>COUNTIFS('Database kontormøbler - 2021'!$H$3:$H$55,'Utregning av grafer'!$A235,'Database kontormøbler - 2021'!$BE$3:$BE$55,1)+COUNTIFS('Database kontormøbler - 2021'!$H$3:$H$55,"Universitet/Høyskole",'Database kontormøbler - 2021'!$BE$3:$BE$55,1)</f>
        <v>10</v>
      </c>
      <c r="C235" s="3">
        <f>COUNTIFS('Database kontormøbler - 2021'!$H$3:$H$55,'Utregning av grafer'!$A235,'Database kontormøbler - 2021'!$BE$3:$BE$55,0)+COUNTIFS('Database kontormøbler - 2021'!$H$3:$H$55,"Universitet/Høyskole",'Database kontormøbler - 2021'!$BE$3:$BE$55,0)</f>
        <v>16</v>
      </c>
      <c r="D235" s="3">
        <f>SUM(B235:C235)</f>
        <v>26</v>
      </c>
      <c r="F235" s="3" t="s">
        <v>80</v>
      </c>
      <c r="G235" s="105">
        <f>B235/D235</f>
        <v>0.38461538461538464</v>
      </c>
      <c r="I235" s="5" t="s">
        <v>703</v>
      </c>
      <c r="J235" s="5" t="s">
        <v>704</v>
      </c>
    </row>
    <row r="236" spans="1:10" x14ac:dyDescent="0.25">
      <c r="A236" s="3" t="s">
        <v>99</v>
      </c>
      <c r="B236" s="3">
        <f>COUNTIFS('Database kontormøbler - 2021'!$H$3:$H$55,'Utregning av grafer'!$A236,'Database kontormøbler - 2021'!$BE$3:$BE$55,1)</f>
        <v>12</v>
      </c>
      <c r="C236" s="3">
        <f>COUNTIFS('Database kontormøbler - 2021'!$H$3:$H$55,'Utregning av grafer'!$A236,'Database kontormøbler - 2021'!$BE$3:$BE$55,0)</f>
        <v>12</v>
      </c>
      <c r="D236" s="3">
        <f t="shared" ref="D236:D237" si="92">SUM(B236:C236)</f>
        <v>24</v>
      </c>
      <c r="F236" s="3" t="s">
        <v>99</v>
      </c>
      <c r="G236" s="105">
        <f t="shared" ref="G236:G237" si="93">B236/D236</f>
        <v>0.5</v>
      </c>
      <c r="I236" s="105">
        <f>B238/D238</f>
        <v>0.41509433962264153</v>
      </c>
      <c r="J236" s="105">
        <f>1-I236</f>
        <v>0.58490566037735847</v>
      </c>
    </row>
    <row r="237" spans="1:10" x14ac:dyDescent="0.25">
      <c r="A237" s="3" t="s">
        <v>130</v>
      </c>
      <c r="B237" s="3">
        <f>COUNTIFS('Database kontormøbler - 2021'!$H$3:$H$55,'Utregning av grafer'!$A237,'Database kontormøbler - 2021'!$BE$3:$BE$55,1)</f>
        <v>0</v>
      </c>
      <c r="C237" s="3">
        <f>COUNTIFS('Database kontormøbler - 2021'!$H$3:$H$55,'Utregning av grafer'!$A237,'Database kontormøbler - 2021'!$BE$3:$BE$55,0)</f>
        <v>3</v>
      </c>
      <c r="D237" s="3">
        <f t="shared" si="92"/>
        <v>3</v>
      </c>
      <c r="F237" s="3" t="s">
        <v>130</v>
      </c>
      <c r="G237" s="105">
        <f t="shared" si="93"/>
        <v>0</v>
      </c>
    </row>
    <row r="238" spans="1:10" x14ac:dyDescent="0.25">
      <c r="A238" s="3" t="s">
        <v>562</v>
      </c>
      <c r="B238" s="3">
        <f>SUM(B235:B237)</f>
        <v>22</v>
      </c>
      <c r="C238" s="3">
        <f>SUM(C235:C237)</f>
        <v>31</v>
      </c>
      <c r="D238" s="3">
        <f>SUM(D235:D237)</f>
        <v>53</v>
      </c>
    </row>
    <row r="242" spans="1:10" ht="33" customHeight="1" x14ac:dyDescent="0.25">
      <c r="A242" s="102" t="s">
        <v>705</v>
      </c>
      <c r="B242" s="3" t="s">
        <v>572</v>
      </c>
      <c r="C242" s="3" t="s">
        <v>573</v>
      </c>
      <c r="D242" s="3" t="s">
        <v>562</v>
      </c>
      <c r="F242" s="3" t="s">
        <v>7</v>
      </c>
      <c r="G242" s="3" t="s">
        <v>563</v>
      </c>
      <c r="I242" s="143" t="s">
        <v>568</v>
      </c>
      <c r="J242" s="143"/>
    </row>
    <row r="243" spans="1:10" ht="63" customHeight="1" x14ac:dyDescent="0.25">
      <c r="A243" s="3" t="s">
        <v>80</v>
      </c>
      <c r="B243" s="3">
        <f>COUNTIFS('Database kontormøbler - 2021'!$H$3:$H$55,'Utregning av grafer'!$A243,'Database kontormøbler - 2021'!$BF$3:$BF$55,1)+COUNTIFS('Database kontormøbler - 2021'!$H$3:$H$55,"Universitet/Høyskole",'Database kontormøbler - 2021'!$BF$3:$BF$55,1)</f>
        <v>13</v>
      </c>
      <c r="C243" s="3">
        <f>COUNTIFS('Database kontormøbler - 2021'!$H$3:$H$55,'Utregning av grafer'!$A243,'Database kontormøbler - 2021'!$BF$3:$BF$55,0)+COUNTIFS('Database kontormøbler - 2021'!$H$3:$H$55,"Universitet/Høyskole",'Database kontormøbler - 2021'!$BF$3:$BF$55,0)</f>
        <v>13</v>
      </c>
      <c r="D243" s="3">
        <f>SUM(B243:C243)</f>
        <v>26</v>
      </c>
      <c r="F243" s="3" t="s">
        <v>80</v>
      </c>
      <c r="G243" s="105">
        <f>B243/D243</f>
        <v>0.5</v>
      </c>
      <c r="I243" s="5" t="s">
        <v>706</v>
      </c>
      <c r="J243" s="5" t="s">
        <v>704</v>
      </c>
    </row>
    <row r="244" spans="1:10" x14ac:dyDescent="0.25">
      <c r="A244" s="3" t="s">
        <v>99</v>
      </c>
      <c r="B244" s="3">
        <f>COUNTIFS('Database kontormøbler - 2021'!$H$3:$H$55,'Utregning av grafer'!$A244,'Database kontormøbler - 2021'!$BF$3:$BF$55,1)</f>
        <v>13</v>
      </c>
      <c r="C244" s="3">
        <f>COUNTIFS('Database kontormøbler - 2021'!$H$3:$H$55,'Utregning av grafer'!$A244,'Database kontormøbler - 2021'!$BF$3:$BF$55,0)</f>
        <v>11</v>
      </c>
      <c r="D244" s="3">
        <f t="shared" ref="D244:D245" si="94">SUM(B244:C244)</f>
        <v>24</v>
      </c>
      <c r="F244" s="3" t="s">
        <v>99</v>
      </c>
      <c r="G244" s="105">
        <f t="shared" ref="G244:G245" si="95">B244/D244</f>
        <v>0.54166666666666663</v>
      </c>
      <c r="I244" s="105">
        <f>B246/D246</f>
        <v>0.52830188679245282</v>
      </c>
      <c r="J244" s="105">
        <f>1-I244</f>
        <v>0.47169811320754718</v>
      </c>
    </row>
    <row r="245" spans="1:10" x14ac:dyDescent="0.25">
      <c r="A245" s="3" t="s">
        <v>130</v>
      </c>
      <c r="B245" s="3">
        <f>COUNTIFS('Database kontormøbler - 2021'!$H$3:$H$55,'Utregning av grafer'!$A245,'Database kontormøbler - 2021'!$BF$3:$BF$55,1)</f>
        <v>2</v>
      </c>
      <c r="C245" s="3">
        <f>COUNTIFS('Database kontormøbler - 2021'!$H$3:$H$55,'Utregning av grafer'!$A245,'Database kontormøbler - 2021'!$BF$3:$BF$55,0)</f>
        <v>1</v>
      </c>
      <c r="D245" s="3">
        <f t="shared" si="94"/>
        <v>3</v>
      </c>
      <c r="F245" s="3" t="s">
        <v>130</v>
      </c>
      <c r="G245" s="105">
        <f t="shared" si="95"/>
        <v>0.66666666666666663</v>
      </c>
    </row>
    <row r="246" spans="1:10" x14ac:dyDescent="0.25">
      <c r="A246" s="3" t="s">
        <v>562</v>
      </c>
      <c r="B246" s="3">
        <f>SUM(B243:B245)</f>
        <v>28</v>
      </c>
      <c r="C246" s="3">
        <f>SUM(C243:C245)</f>
        <v>25</v>
      </c>
      <c r="D246" s="3">
        <f>SUM(D243:D245)</f>
        <v>53</v>
      </c>
    </row>
    <row r="250" spans="1:10" ht="27.75" customHeight="1" x14ac:dyDescent="0.25">
      <c r="A250" s="102" t="s">
        <v>707</v>
      </c>
      <c r="B250" s="3" t="s">
        <v>572</v>
      </c>
      <c r="C250" s="3" t="s">
        <v>573</v>
      </c>
      <c r="D250" s="3" t="s">
        <v>562</v>
      </c>
      <c r="F250" s="3" t="s">
        <v>7</v>
      </c>
      <c r="G250" s="3" t="s">
        <v>563</v>
      </c>
      <c r="I250" s="143" t="s">
        <v>568</v>
      </c>
      <c r="J250" s="143"/>
    </row>
    <row r="251" spans="1:10" ht="45" x14ac:dyDescent="0.25">
      <c r="A251" s="3" t="s">
        <v>80</v>
      </c>
      <c r="B251" s="3">
        <f>COUNTIFS('Database kontormøbler - 2021'!$H$3:$H$55,'Utregning av grafer'!$A251,'Database kontormøbler - 2021'!$BG$3:$BG$55,1)+COUNTIFS('Database kontormøbler - 2021'!$H$3:$H$55,"Universitet/Høyskole",'Database kontormøbler - 2021'!$BG$3:$BG$55,1)</f>
        <v>5</v>
      </c>
      <c r="C251" s="3">
        <f>COUNTIFS('Database kontormøbler - 2021'!$H$3:$H$55,'Utregning av grafer'!$A251,'Database kontormøbler - 2021'!$BG$3:$BG$55,0)+COUNTIFS('Database kontormøbler - 2021'!$H$3:$H$55,"Universitet/Høyskole",'Database kontormøbler - 2021'!$BG$3:$BG$55,0)</f>
        <v>21</v>
      </c>
      <c r="D251" s="3">
        <f>SUM(B251:C251)</f>
        <v>26</v>
      </c>
      <c r="F251" s="3" t="s">
        <v>80</v>
      </c>
      <c r="G251" s="105">
        <f>B251/D251</f>
        <v>0.19230769230769232</v>
      </c>
      <c r="I251" s="5" t="s">
        <v>708</v>
      </c>
      <c r="J251" s="5" t="s">
        <v>704</v>
      </c>
    </row>
    <row r="252" spans="1:10" x14ac:dyDescent="0.25">
      <c r="A252" s="3" t="s">
        <v>99</v>
      </c>
      <c r="B252" s="3">
        <f>COUNTIFS('Database kontormøbler - 2021'!$H$3:$H$55,'Utregning av grafer'!$A252,'Database kontormøbler - 2021'!$BG$3:$BG$55,1)</f>
        <v>11</v>
      </c>
      <c r="C252" s="3">
        <f>COUNTIFS('Database kontormøbler - 2021'!$H$3:$H$55,'Utregning av grafer'!$A252,'Database kontormøbler - 2021'!$BG$3:$BG$55,0)</f>
        <v>13</v>
      </c>
      <c r="D252" s="3">
        <f t="shared" ref="D252:D253" si="96">SUM(B252:C252)</f>
        <v>24</v>
      </c>
      <c r="F252" s="3" t="s">
        <v>99</v>
      </c>
      <c r="G252" s="105">
        <f t="shared" ref="G252:G253" si="97">B252/D252</f>
        <v>0.45833333333333331</v>
      </c>
      <c r="I252" s="105">
        <f>B254/D254</f>
        <v>0.30188679245283018</v>
      </c>
      <c r="J252" s="105">
        <f>1-I252</f>
        <v>0.69811320754716988</v>
      </c>
    </row>
    <row r="253" spans="1:10" x14ac:dyDescent="0.25">
      <c r="A253" s="3" t="s">
        <v>130</v>
      </c>
      <c r="B253" s="3">
        <f>COUNTIFS('Database kontormøbler - 2021'!$H$3:$H$55,'Utregning av grafer'!$A253,'Database kontormøbler - 2021'!$BG$3:$BG$55,1)</f>
        <v>0</v>
      </c>
      <c r="C253" s="3">
        <f>COUNTIFS('Database kontormøbler - 2021'!$H$3:$H$55,'Utregning av grafer'!$A253,'Database kontormøbler - 2021'!$BG$3:$BG$55,0)</f>
        <v>3</v>
      </c>
      <c r="D253" s="3">
        <f t="shared" si="96"/>
        <v>3</v>
      </c>
      <c r="F253" s="3" t="s">
        <v>130</v>
      </c>
      <c r="G253" s="105">
        <f t="shared" si="97"/>
        <v>0</v>
      </c>
    </row>
    <row r="254" spans="1:10" x14ac:dyDescent="0.25">
      <c r="A254" s="3" t="s">
        <v>562</v>
      </c>
      <c r="B254" s="3">
        <f>SUM(B251:B253)</f>
        <v>16</v>
      </c>
      <c r="C254" s="3">
        <f>SUM(C251:C253)</f>
        <v>37</v>
      </c>
      <c r="D254" s="3">
        <f>SUM(D251:D253)</f>
        <v>53</v>
      </c>
    </row>
    <row r="258" spans="1:10" ht="33.75" customHeight="1" x14ac:dyDescent="0.25">
      <c r="A258" s="102" t="s">
        <v>58</v>
      </c>
      <c r="B258" s="3" t="s">
        <v>572</v>
      </c>
      <c r="C258" s="3" t="s">
        <v>573</v>
      </c>
      <c r="D258" s="3" t="s">
        <v>562</v>
      </c>
      <c r="F258" s="3" t="s">
        <v>7</v>
      </c>
      <c r="G258" s="3" t="s">
        <v>563</v>
      </c>
      <c r="I258" s="143" t="s">
        <v>568</v>
      </c>
      <c r="J258" s="143"/>
    </row>
    <row r="259" spans="1:10" ht="48.75" customHeight="1" x14ac:dyDescent="0.25">
      <c r="A259" s="3" t="s">
        <v>80</v>
      </c>
      <c r="B259" s="3">
        <f>COUNTIFS('Database kontormøbler - 2021'!$H$3:$H$55,'Utregning av grafer'!$A259,'Database kontormøbler - 2021'!$BH$3:$BH$55,1)+COUNTIFS('Database kontormøbler - 2021'!$H$3:$H$55,"Universitet/Høyskole",'Database kontormøbler - 2021'!$BH$3:$BH$55,1)</f>
        <v>6</v>
      </c>
      <c r="C259" s="110">
        <f>COUNTIFS('Database kontormøbler - 2021'!$H$3:$H$55,'Utregning av grafer'!$A259,'Database kontormøbler - 2021'!$BH$3:$BH$55,0)+COUNTIFS('Database kontormøbler - 2021'!$H$3:$H$55,"Universitet/Høyskole",'Database kontormøbler - 2021'!$BH$3:$BH$55,0)</f>
        <v>20</v>
      </c>
      <c r="D259" s="3">
        <f>SUM(B259:C259)</f>
        <v>26</v>
      </c>
      <c r="F259" s="3" t="s">
        <v>80</v>
      </c>
      <c r="G259" s="105">
        <f>B259/D259</f>
        <v>0.23076923076923078</v>
      </c>
      <c r="I259" s="5" t="s">
        <v>709</v>
      </c>
      <c r="J259" s="5" t="s">
        <v>704</v>
      </c>
    </row>
    <row r="260" spans="1:10" x14ac:dyDescent="0.25">
      <c r="A260" s="3" t="s">
        <v>99</v>
      </c>
      <c r="B260" s="3">
        <f>COUNTIFS('Database kontormøbler - 2021'!$H$3:$H$55,'Utregning av grafer'!$A260,'Database kontormøbler - 2021'!$BH$3:$BH$55,1)</f>
        <v>5</v>
      </c>
      <c r="C260" s="3">
        <f>COUNTIFS('Database kontormøbler - 2021'!$H$3:$H$55,'Utregning av grafer'!$A260,'Database kontormøbler - 2021'!$BH$3:$BH$55,0)</f>
        <v>19</v>
      </c>
      <c r="D260" s="3">
        <f t="shared" ref="D260:D261" si="98">SUM(B260:C260)</f>
        <v>24</v>
      </c>
      <c r="F260" s="3" t="s">
        <v>99</v>
      </c>
      <c r="G260" s="105">
        <f t="shared" ref="G260" si="99">B260/D260</f>
        <v>0.20833333333333334</v>
      </c>
      <c r="I260" s="105">
        <f>B262/D262</f>
        <v>0.22641509433962265</v>
      </c>
      <c r="J260" s="105">
        <f>1-I260</f>
        <v>0.77358490566037741</v>
      </c>
    </row>
    <row r="261" spans="1:10" x14ac:dyDescent="0.25">
      <c r="A261" s="3" t="s">
        <v>130</v>
      </c>
      <c r="B261" s="3">
        <f>COUNTIFS('Database kontormøbler - 2021'!$H$3:$H$55,'Utregning av grafer'!$A261,'Database kontormøbler - 2021'!$BH$3:$BH$55,1)</f>
        <v>1</v>
      </c>
      <c r="C261" s="3">
        <f>COUNTIFS('Database kontormøbler - 2021'!$H$3:$H$55,'Utregning av grafer'!$A261,'Database kontormøbler - 2021'!$BH$3:$BH$55,0)</f>
        <v>2</v>
      </c>
      <c r="D261" s="3">
        <f t="shared" si="98"/>
        <v>3</v>
      </c>
      <c r="F261" s="3" t="s">
        <v>130</v>
      </c>
      <c r="G261" s="105">
        <f>B261/D261</f>
        <v>0.33333333333333331</v>
      </c>
    </row>
    <row r="262" spans="1:10" x14ac:dyDescent="0.25">
      <c r="A262" s="3" t="s">
        <v>562</v>
      </c>
      <c r="B262" s="3">
        <f>SUM(B259:B261)</f>
        <v>12</v>
      </c>
      <c r="C262" s="3">
        <f>SUM(C259:C261)</f>
        <v>41</v>
      </c>
      <c r="D262" s="3">
        <f>SUM(D259:D261)</f>
        <v>53</v>
      </c>
    </row>
    <row r="266" spans="1:10" ht="27" customHeight="1" x14ac:dyDescent="0.25">
      <c r="A266" s="102" t="s">
        <v>59</v>
      </c>
      <c r="B266" s="3" t="s">
        <v>572</v>
      </c>
      <c r="C266" s="3" t="s">
        <v>573</v>
      </c>
      <c r="D266" s="3" t="s">
        <v>562</v>
      </c>
      <c r="F266" s="3" t="s">
        <v>7</v>
      </c>
      <c r="G266" s="3" t="s">
        <v>563</v>
      </c>
      <c r="I266" s="143" t="s">
        <v>568</v>
      </c>
      <c r="J266" s="143"/>
    </row>
    <row r="267" spans="1:10" ht="45" x14ac:dyDescent="0.25">
      <c r="A267" s="3" t="s">
        <v>80</v>
      </c>
      <c r="B267" s="110">
        <f>COUNTIFS('Database kontormøbler - 2021'!$H$3:$H$55,'Utregning av grafer'!$A267,'Database kontormøbler - 2021'!$BI$3:$BI$55,1)+COUNTIFS('Database kontormøbler - 2021'!$H$3:$H$55,"Universitet/Høyskole",'Database kontormøbler - 2021'!$BI$3:$BI$55,1)</f>
        <v>3</v>
      </c>
      <c r="C267" s="110">
        <f>COUNTIFS('Database kontormøbler - 2021'!$H$3:$H$55,'Utregning av grafer'!$A267,'Database kontormøbler - 2021'!$BI$3:$BI$55,0)+COUNTIFS('Database kontormøbler - 2021'!$H$3:$H$55,"Universitet/Høyskole",'Database kontormøbler - 2021'!$BI$3:$BI$55,0)</f>
        <v>23</v>
      </c>
      <c r="D267" s="3">
        <f>SUM(B267:C267)</f>
        <v>26</v>
      </c>
      <c r="F267" s="3" t="s">
        <v>80</v>
      </c>
      <c r="G267" s="105">
        <f>B267/D267</f>
        <v>0.11538461538461539</v>
      </c>
      <c r="I267" s="5" t="s">
        <v>710</v>
      </c>
      <c r="J267" s="5" t="s">
        <v>704</v>
      </c>
    </row>
    <row r="268" spans="1:10" x14ac:dyDescent="0.25">
      <c r="A268" s="3" t="s">
        <v>99</v>
      </c>
      <c r="B268" s="3">
        <f>COUNTIFS('Database kontormøbler - 2021'!$H$3:$H$55,'Utregning av grafer'!$A268,'Database kontormøbler - 2021'!$BI$3:$BI$55,1)</f>
        <v>11</v>
      </c>
      <c r="C268" s="3">
        <f>COUNTIFS('Database kontormøbler - 2021'!$H$3:$H$55,'Utregning av grafer'!$A268,'Database kontormøbler - 2021'!$BI$3:$BI$55,0)</f>
        <v>13</v>
      </c>
      <c r="D268" s="3">
        <f t="shared" ref="D268:D269" si="100">SUM(B268:C268)</f>
        <v>24</v>
      </c>
      <c r="F268" s="3" t="s">
        <v>99</v>
      </c>
      <c r="G268" s="105">
        <f t="shared" ref="G268:G269" si="101">B268/D268</f>
        <v>0.45833333333333331</v>
      </c>
      <c r="I268" s="105">
        <f>B270/D270</f>
        <v>0.28301886792452829</v>
      </c>
      <c r="J268" s="105">
        <f>1-I268</f>
        <v>0.71698113207547176</v>
      </c>
    </row>
    <row r="269" spans="1:10" x14ac:dyDescent="0.25">
      <c r="A269" s="3" t="s">
        <v>130</v>
      </c>
      <c r="B269" s="3">
        <f>COUNTIFS('Database kontormøbler - 2021'!$H$3:$H$55,'Utregning av grafer'!$A269,'Database kontormøbler - 2021'!$BI$3:$BI$55,1)</f>
        <v>1</v>
      </c>
      <c r="C269" s="3">
        <f>COUNTIFS('Database kontormøbler - 2021'!$H$3:$H$55,'Utregning av grafer'!$A269,'Database kontormøbler - 2021'!$BI$3:$BI$55,0)</f>
        <v>2</v>
      </c>
      <c r="D269" s="3">
        <f t="shared" si="100"/>
        <v>3</v>
      </c>
      <c r="F269" s="3" t="s">
        <v>130</v>
      </c>
      <c r="G269" s="105">
        <f t="shared" si="101"/>
        <v>0.33333333333333331</v>
      </c>
    </row>
    <row r="270" spans="1:10" x14ac:dyDescent="0.25">
      <c r="A270" s="3" t="s">
        <v>562</v>
      </c>
      <c r="B270" s="3">
        <f>SUM(B267:B269)</f>
        <v>15</v>
      </c>
      <c r="C270" s="3">
        <f>SUM(C267:C269)</f>
        <v>38</v>
      </c>
      <c r="D270" s="3">
        <f>SUM(D267:D269)</f>
        <v>53</v>
      </c>
    </row>
    <row r="274" spans="1:13" ht="75" x14ac:dyDescent="0.25">
      <c r="A274" s="102" t="s">
        <v>711</v>
      </c>
      <c r="B274" s="5" t="s">
        <v>712</v>
      </c>
      <c r="C274" s="5" t="s">
        <v>713</v>
      </c>
      <c r="D274" s="3" t="s">
        <v>573</v>
      </c>
      <c r="E274" s="3" t="s">
        <v>562</v>
      </c>
      <c r="G274" s="3" t="s">
        <v>7</v>
      </c>
      <c r="H274" s="5" t="s">
        <v>714</v>
      </c>
      <c r="I274" s="5" t="s">
        <v>715</v>
      </c>
      <c r="J274" s="5" t="s">
        <v>656</v>
      </c>
      <c r="L274" s="5" t="s">
        <v>716</v>
      </c>
      <c r="M274" s="5" t="s">
        <v>658</v>
      </c>
    </row>
    <row r="275" spans="1:13" x14ac:dyDescent="0.25">
      <c r="A275" s="3" t="s">
        <v>80</v>
      </c>
      <c r="B275" s="3">
        <f>COUNTIFS('Database kontormøbler - 2021'!$H$3:$H$55,'Utregning av grafer'!$A275,'Database kontormøbler - 2021'!$BJ$3:$BJ$55,1)+COUNTIFS('Database kontormøbler - 2021'!$H$3:$H$55,"Universitet/Høyskole",'Database kontormøbler - 2021'!$BJ$3:$BJ$55,1)</f>
        <v>10</v>
      </c>
      <c r="C275" s="3">
        <f>+COUNTIFS('Database kontormøbler - 2021'!$H$3:$H$55,'Utregning av grafer'!$A275,'Database kontormøbler - 2021'!$BJ$3:$BJ$55,2)+COUNTIFS('Database kontormøbler - 2021'!$H$3:$H$55,"Universitet/Høyskole",'Database kontormøbler - 2021'!$BJ$3:$BJ$55,2)</f>
        <v>5</v>
      </c>
      <c r="D275" s="3">
        <f>+COUNTIFS('Database kontormøbler - 2021'!$H$3:$H$55,'Utregning av grafer'!$A275,'Database kontormøbler - 2021'!$BJ$3:$BJ$55,0)+COUNTIFS('Database kontormøbler - 2021'!$H$3:$H$55,"Universitet/Høyskole",'Database kontormøbler - 2021'!$BJ$3:$BJ$55,0)</f>
        <v>11</v>
      </c>
      <c r="E275" s="3">
        <f>SUM(B275:D275)</f>
        <v>26</v>
      </c>
      <c r="G275" s="3" t="s">
        <v>80</v>
      </c>
      <c r="H275" s="105">
        <f>B275/E275</f>
        <v>0.38461538461538464</v>
      </c>
      <c r="I275" s="105">
        <f>C275/E275</f>
        <v>0.19230769230769232</v>
      </c>
      <c r="J275" s="105">
        <f>D275/E275</f>
        <v>0.42307692307692307</v>
      </c>
      <c r="L275" s="105">
        <f>(B278+C278)/E278</f>
        <v>0.60377358490566035</v>
      </c>
      <c r="M275" s="105">
        <f>1-L275</f>
        <v>0.39622641509433965</v>
      </c>
    </row>
    <row r="276" spans="1:13" x14ac:dyDescent="0.25">
      <c r="A276" s="3" t="s">
        <v>99</v>
      </c>
      <c r="B276" s="3">
        <f>COUNTIFS('Database kontormøbler - 2021'!$H$3:$H$55,'Utregning av grafer'!$A276,'Database kontormøbler - 2021'!$BJ$3:$BJ$55,1)</f>
        <v>6</v>
      </c>
      <c r="C276" s="3">
        <f>+COUNTIFS('Database kontormøbler - 2021'!$H$3:$H$55,'Utregning av grafer'!$A276,'Database kontormøbler - 2021'!$BJ$3:$BJ$55,2)</f>
        <v>10</v>
      </c>
      <c r="D276" s="3">
        <f>+COUNTIFS('Database kontormøbler - 2021'!$H$3:$H$55,'Utregning av grafer'!$A276,'Database kontormøbler - 2021'!$BJ$3:$BJ$55,0)</f>
        <v>8</v>
      </c>
      <c r="E276" s="3">
        <f>SUM(B276:D276)</f>
        <v>24</v>
      </c>
      <c r="G276" s="3" t="s">
        <v>99</v>
      </c>
      <c r="H276" s="105">
        <f t="shared" ref="H276" si="102">B276/E276</f>
        <v>0.25</v>
      </c>
      <c r="I276" s="105">
        <f t="shared" ref="I276:I277" si="103">C276/E276</f>
        <v>0.41666666666666669</v>
      </c>
      <c r="J276" s="105">
        <f t="shared" ref="J276:J277" si="104">D276/E276</f>
        <v>0.33333333333333331</v>
      </c>
    </row>
    <row r="277" spans="1:13" x14ac:dyDescent="0.25">
      <c r="A277" s="3" t="s">
        <v>130</v>
      </c>
      <c r="B277" s="3">
        <f>COUNTIFS('Database kontormøbler - 2021'!$H$3:$H$55,'Utregning av grafer'!$A277,'Database kontormøbler - 2021'!$BJ$3:$BJ$55,1)</f>
        <v>1</v>
      </c>
      <c r="C277" s="3">
        <f>+COUNTIFS('Database kontormøbler - 2021'!$H$3:$H$55,'Utregning av grafer'!$A277,'Database kontormøbler - 2021'!$BJ$3:$BJ$55,2)</f>
        <v>0</v>
      </c>
      <c r="D277" s="3">
        <f>+COUNTIFS('Database kontormøbler - 2021'!$H$3:$H$55,'Utregning av grafer'!$A277,'Database kontormøbler - 2021'!$BJ$3:$BJ$55,0)</f>
        <v>2</v>
      </c>
      <c r="E277" s="3">
        <f>SUM(B277:D277)</f>
        <v>3</v>
      </c>
      <c r="G277" s="3" t="s">
        <v>130</v>
      </c>
      <c r="H277" s="105">
        <f>B277/E277</f>
        <v>0.33333333333333331</v>
      </c>
      <c r="I277" s="105">
        <f t="shared" si="103"/>
        <v>0</v>
      </c>
      <c r="J277" s="105">
        <f t="shared" si="104"/>
        <v>0.66666666666666663</v>
      </c>
    </row>
    <row r="278" spans="1:13" x14ac:dyDescent="0.25">
      <c r="A278" s="3" t="s">
        <v>627</v>
      </c>
      <c r="B278" s="3">
        <f>SUM(B275:B277)</f>
        <v>17</v>
      </c>
      <c r="C278" s="3">
        <f t="shared" ref="C278:D278" si="105">SUM(C275:C277)</f>
        <v>15</v>
      </c>
      <c r="D278" s="3">
        <f t="shared" si="105"/>
        <v>21</v>
      </c>
      <c r="E278" s="3">
        <f>SUM(E275:E277)</f>
        <v>53</v>
      </c>
    </row>
    <row r="282" spans="1:13" ht="60" x14ac:dyDescent="0.25">
      <c r="A282" s="102" t="s">
        <v>717</v>
      </c>
      <c r="B282" s="5" t="s">
        <v>718</v>
      </c>
      <c r="C282" s="5" t="s">
        <v>719</v>
      </c>
      <c r="D282" s="3" t="s">
        <v>573</v>
      </c>
      <c r="E282" s="3" t="s">
        <v>562</v>
      </c>
      <c r="G282" s="3" t="s">
        <v>7</v>
      </c>
      <c r="H282" s="5" t="s">
        <v>720</v>
      </c>
      <c r="I282" s="5" t="s">
        <v>721</v>
      </c>
      <c r="J282" s="5" t="s">
        <v>656</v>
      </c>
      <c r="L282" s="5" t="s">
        <v>722</v>
      </c>
      <c r="M282" s="5" t="s">
        <v>658</v>
      </c>
    </row>
    <row r="283" spans="1:13" x14ac:dyDescent="0.25">
      <c r="A283" s="3" t="s">
        <v>80</v>
      </c>
      <c r="B283" s="3">
        <f>COUNTIFS('Database kontormøbler - 2021'!$H$3:$H$55,'Utregning av grafer'!$A283,'Database kontormøbler - 2021'!$BK$3:$BK$55,1)+COUNTIFS('Database kontormøbler - 2021'!$H$3:$H$55,"Universitet/Høyskole",'Database kontormøbler - 2021'!$BK$3:$BK$55,1)</f>
        <v>0</v>
      </c>
      <c r="C283" s="3">
        <f>+COUNTIFS('Database kontormøbler - 2021'!$H$3:$H$55,'Utregning av grafer'!$A283,'Database kontormøbler - 2021'!$BK$3:$BK$55,2)+COUNTIFS('Database kontormøbler - 2021'!$H$3:$H$55,"Universitet/Høyskole",'Database kontormøbler - 2021'!$BK$3:$BK$55,2)</f>
        <v>4</v>
      </c>
      <c r="D283" s="3">
        <f>+COUNTIFS('Database kontormøbler - 2021'!$H$3:$H$55,'Utregning av grafer'!$A283,'Database kontormøbler - 2021'!$BK$3:$BK$55,0)+COUNTIFS('Database kontormøbler - 2021'!$H$3:$H$55,"Universitet/Høyskole",'Database kontormøbler - 2021'!$BK$3:$BK$55,0)</f>
        <v>22</v>
      </c>
      <c r="E283" s="3">
        <f>SUM(B283:D283)</f>
        <v>26</v>
      </c>
      <c r="G283" s="3" t="s">
        <v>80</v>
      </c>
      <c r="H283" s="105">
        <f>B283/E283</f>
        <v>0</v>
      </c>
      <c r="I283" s="105">
        <f>C283/E283</f>
        <v>0.15384615384615385</v>
      </c>
      <c r="J283" s="105">
        <f>D283/E283</f>
        <v>0.84615384615384615</v>
      </c>
      <c r="L283" s="105">
        <f>(B286+C286)/E286</f>
        <v>0.35849056603773582</v>
      </c>
      <c r="M283" s="105">
        <f>1-L283</f>
        <v>0.64150943396226423</v>
      </c>
    </row>
    <row r="284" spans="1:13" x14ac:dyDescent="0.25">
      <c r="A284" s="3" t="s">
        <v>99</v>
      </c>
      <c r="B284" s="3">
        <f>COUNTIFS('Database kontormøbler - 2021'!$H$3:$H$55,'Utregning av grafer'!$A284,'Database kontormøbler - 2021'!$BK$3:$BK$55,1)</f>
        <v>5</v>
      </c>
      <c r="C284" s="3">
        <f>+COUNTIFS('Database kontormøbler - 2021'!$H$3:$H$55,'Utregning av grafer'!$A284,'Database kontormøbler - 2021'!$BK$3:$BK$55,2)</f>
        <v>9</v>
      </c>
      <c r="D284" s="3">
        <f>+COUNTIFS('Database kontormøbler - 2021'!$H$3:$H$55,'Utregning av grafer'!$A284,'Database kontormøbler - 2021'!$BK$3:$BK$55,0)</f>
        <v>10</v>
      </c>
      <c r="E284" s="3">
        <f>SUM(B284:D284)</f>
        <v>24</v>
      </c>
      <c r="G284" s="3" t="s">
        <v>99</v>
      </c>
      <c r="H284" s="105">
        <f t="shared" ref="H284:H285" si="106">B284/E284</f>
        <v>0.20833333333333334</v>
      </c>
      <c r="I284" s="105">
        <f t="shared" ref="I284:I285" si="107">C284/E284</f>
        <v>0.375</v>
      </c>
      <c r="J284" s="105">
        <f t="shared" ref="J284:J285" si="108">D284/E284</f>
        <v>0.41666666666666669</v>
      </c>
    </row>
    <row r="285" spans="1:13" x14ac:dyDescent="0.25">
      <c r="A285" s="3" t="s">
        <v>130</v>
      </c>
      <c r="B285" s="3">
        <f>COUNTIFS('Database kontormøbler - 2021'!$H$3:$H$55,'Utregning av grafer'!$A285,'Database kontormøbler - 2021'!$BK$3:$BK$55,1)</f>
        <v>1</v>
      </c>
      <c r="C285" s="3">
        <f>+COUNTIFS('Database kontormøbler - 2021'!$H$3:$H$55,'Utregning av grafer'!$A285,'Database kontormøbler - 2021'!$BK$3:$BK$55,2)</f>
        <v>0</v>
      </c>
      <c r="D285" s="3">
        <f>+COUNTIFS('Database kontormøbler - 2021'!$H$3:$H$55,'Utregning av grafer'!$A285,'Database kontormøbler - 2021'!$BK$3:$BK$55,0)</f>
        <v>2</v>
      </c>
      <c r="E285" s="3">
        <f>SUM(B285:D285)</f>
        <v>3</v>
      </c>
      <c r="G285" s="3" t="s">
        <v>130</v>
      </c>
      <c r="H285" s="105">
        <f t="shared" si="106"/>
        <v>0.33333333333333331</v>
      </c>
      <c r="I285" s="105">
        <f t="shared" si="107"/>
        <v>0</v>
      </c>
      <c r="J285" s="105">
        <f t="shared" si="108"/>
        <v>0.66666666666666663</v>
      </c>
    </row>
    <row r="286" spans="1:13" x14ac:dyDescent="0.25">
      <c r="A286" s="3" t="s">
        <v>627</v>
      </c>
      <c r="B286" s="3">
        <f>SUM(B283:B285)</f>
        <v>6</v>
      </c>
      <c r="C286" s="3">
        <f t="shared" ref="C286:D286" si="109">SUM(C283:C285)</f>
        <v>13</v>
      </c>
      <c r="D286" s="3">
        <f t="shared" si="109"/>
        <v>34</v>
      </c>
      <c r="E286" s="3">
        <f>SUM(E283:E285)</f>
        <v>53</v>
      </c>
    </row>
    <row r="290" spans="1:10" ht="42.95" customHeight="1" x14ac:dyDescent="0.25">
      <c r="A290" s="102" t="s">
        <v>723</v>
      </c>
      <c r="B290" s="3"/>
    </row>
    <row r="291" spans="1:10" ht="30" x14ac:dyDescent="0.25">
      <c r="A291" s="5" t="s">
        <v>724</v>
      </c>
      <c r="B291" s="5" t="s">
        <v>650</v>
      </c>
    </row>
    <row r="292" spans="1:10" ht="62.25" customHeight="1" x14ac:dyDescent="0.25">
      <c r="A292" s="105">
        <f>COUNTIF(Tabell2[Tungmetaller],1)/E286</f>
        <v>1.8867924528301886E-2</v>
      </c>
      <c r="B292" s="105">
        <f>1-A292</f>
        <v>0.98113207547169812</v>
      </c>
    </row>
    <row r="296" spans="1:10" ht="34.5" customHeight="1" x14ac:dyDescent="0.25">
      <c r="A296" s="102" t="s">
        <v>63</v>
      </c>
      <c r="B296" s="3" t="s">
        <v>572</v>
      </c>
      <c r="C296" s="3" t="s">
        <v>573</v>
      </c>
      <c r="D296" s="3" t="s">
        <v>562</v>
      </c>
      <c r="F296" s="3" t="s">
        <v>7</v>
      </c>
      <c r="G296" s="3" t="s">
        <v>563</v>
      </c>
      <c r="I296" s="143" t="s">
        <v>568</v>
      </c>
      <c r="J296" s="143"/>
    </row>
    <row r="297" spans="1:10" ht="45" x14ac:dyDescent="0.25">
      <c r="A297" s="3" t="s">
        <v>80</v>
      </c>
      <c r="B297" s="110">
        <f>COUNTIFS('Database kontormøbler - 2021'!$H$3:$H$55,'Utregning av grafer'!$A297,'Database kontormøbler - 2021'!$BM$3:$BM$55,1)+COUNTIFS('Database kontormøbler - 2021'!$H$3:$H$55,"Universitet/Høyskole",'Database kontormøbler - 2021'!$BM$3:$BM$55,1)</f>
        <v>4</v>
      </c>
      <c r="C297" s="110">
        <f>COUNTIFS('Database kontormøbler - 2021'!$H$3:$H$55,'Utregning av grafer'!$A297,'Database kontormøbler - 2021'!$BM$3:$BM$55,0)+COUNTIFS('Database kontormøbler - 2021'!$H$3:$H$55,"Universitet/Høyskole",'Database kontormøbler - 2021'!$BM$3:$BM$55,0)</f>
        <v>22</v>
      </c>
      <c r="D297" s="3">
        <f>SUM(B297:C297)</f>
        <v>26</v>
      </c>
      <c r="F297" s="3" t="s">
        <v>80</v>
      </c>
      <c r="G297" s="105">
        <f>B297/D297</f>
        <v>0.15384615384615385</v>
      </c>
      <c r="I297" s="5" t="s">
        <v>725</v>
      </c>
      <c r="J297" s="5" t="s">
        <v>658</v>
      </c>
    </row>
    <row r="298" spans="1:10" x14ac:dyDescent="0.25">
      <c r="A298" s="3" t="s">
        <v>99</v>
      </c>
      <c r="B298" s="3">
        <f>COUNTIFS('Database kontormøbler - 2021'!$H$3:$H$55,'Utregning av grafer'!$A298,'Database kontormøbler - 2021'!$BM$3:$BM$55,1)</f>
        <v>9</v>
      </c>
      <c r="C298" s="3">
        <f>COUNTIFS('Database kontormøbler - 2021'!$H$3:$H$55,'Utregning av grafer'!$A298,'Database kontormøbler - 2021'!$BM$3:$BM$55,0)</f>
        <v>15</v>
      </c>
      <c r="D298" s="3">
        <f>SUM(B298:C298)</f>
        <v>24</v>
      </c>
      <c r="F298" s="3" t="s">
        <v>99</v>
      </c>
      <c r="G298" s="105">
        <f t="shared" ref="G298:G299" si="110">B298/D298</f>
        <v>0.375</v>
      </c>
      <c r="I298" s="105">
        <f>B300/D300</f>
        <v>0.24528301886792453</v>
      </c>
      <c r="J298" s="105">
        <f>1-I298</f>
        <v>0.75471698113207553</v>
      </c>
    </row>
    <row r="299" spans="1:10" x14ac:dyDescent="0.25">
      <c r="A299" s="3" t="s">
        <v>130</v>
      </c>
      <c r="B299" s="110">
        <f>COUNTIFS('Database kontormøbler - 2021'!$H$3:$H$55,'Utregning av grafer'!$A299,'Database kontormøbler - 2021'!$BM$3:$BM$55,1)+COUNTIFS('Database kontormøbler - 2021'!$H$3:$H$55,'Utregning av grafer'!$A274,'Database kontormøbler - 2021'!$BM$3:$BM$55,2)</f>
        <v>0</v>
      </c>
      <c r="C299" s="3">
        <f>COUNTIFS('Database kontormøbler - 2021'!$H$3:$H$55,'Utregning av grafer'!$A299,'Database kontormøbler - 2021'!$BM$3:$BM$55,0)</f>
        <v>3</v>
      </c>
      <c r="D299" s="3">
        <f t="shared" ref="D299" si="111">SUM(B299:C299)</f>
        <v>3</v>
      </c>
      <c r="F299" s="3" t="s">
        <v>130</v>
      </c>
      <c r="G299" s="105">
        <f t="shared" si="110"/>
        <v>0</v>
      </c>
    </row>
    <row r="300" spans="1:10" x14ac:dyDescent="0.25">
      <c r="A300" s="3" t="s">
        <v>562</v>
      </c>
      <c r="B300" s="3">
        <f>SUM(B297:B299)</f>
        <v>13</v>
      </c>
      <c r="C300" s="3">
        <f>SUM(C297:C299)</f>
        <v>40</v>
      </c>
      <c r="D300" s="3">
        <f>SUM(B300:C300)</f>
        <v>53</v>
      </c>
    </row>
    <row r="304" spans="1:10" ht="34.5" customHeight="1" x14ac:dyDescent="0.25">
      <c r="A304" s="102" t="s">
        <v>726</v>
      </c>
      <c r="B304" s="3" t="s">
        <v>572</v>
      </c>
      <c r="C304" s="3" t="s">
        <v>573</v>
      </c>
      <c r="D304" s="3" t="s">
        <v>562</v>
      </c>
      <c r="F304" s="3" t="s">
        <v>7</v>
      </c>
      <c r="G304" s="3" t="s">
        <v>563</v>
      </c>
      <c r="I304" s="143" t="s">
        <v>568</v>
      </c>
      <c r="J304" s="143"/>
    </row>
    <row r="305" spans="1:10" ht="45" x14ac:dyDescent="0.25">
      <c r="A305" s="3" t="s">
        <v>80</v>
      </c>
      <c r="B305" s="110">
        <f>COUNTIFS('Database kontormøbler - 2021'!$H$3:$H$55,'Utregning av grafer'!$A305,'Database kontormøbler - 2021'!$BN$3:$BN$55,1)+COUNTIFS('Database kontormøbler - 2021'!$H$3:$H$55,"Universitet/Høyskole",'Database kontormøbler - 2021'!$BN$3:$BN$55,1)</f>
        <v>15</v>
      </c>
      <c r="C305" s="110">
        <f>COUNTIFS('Database kontormøbler - 2021'!$H$3:$H$55,'Utregning av grafer'!$A305,'Database kontormøbler - 2021'!$BN$3:$BN$55,0)+COUNTIFS('Database kontormøbler - 2021'!$H$3:$H$55,"Universitet/Høyskole",'Database kontormøbler - 2021'!$BN$3:$BN$55,0)</f>
        <v>11</v>
      </c>
      <c r="D305" s="3">
        <f>SUM(B305:C305)</f>
        <v>26</v>
      </c>
      <c r="F305" s="3" t="s">
        <v>80</v>
      </c>
      <c r="G305" s="105">
        <f>B305/D305</f>
        <v>0.57692307692307687</v>
      </c>
      <c r="I305" s="5" t="s">
        <v>727</v>
      </c>
      <c r="J305" s="5" t="s">
        <v>658</v>
      </c>
    </row>
    <row r="306" spans="1:10" x14ac:dyDescent="0.25">
      <c r="A306" s="3" t="s">
        <v>99</v>
      </c>
      <c r="B306" s="3">
        <f>COUNTIFS('Database kontormøbler - 2021'!$H$3:$H$55,'Utregning av grafer'!$A306,'Database kontormøbler - 2021'!$BN$3:$BN$55,1)</f>
        <v>11</v>
      </c>
      <c r="C306" s="3">
        <f>COUNTIFS('Database kontormøbler - 2021'!$H$3:$H$55,'Utregning av grafer'!$A306,'Database kontormøbler - 2021'!$BN$3:$BN$55,0)</f>
        <v>13</v>
      </c>
      <c r="D306" s="3">
        <f>SUM(B306:C306)</f>
        <v>24</v>
      </c>
      <c r="F306" s="3" t="s">
        <v>99</v>
      </c>
      <c r="G306" s="105">
        <f t="shared" ref="G306:G307" si="112">B306/D306</f>
        <v>0.45833333333333331</v>
      </c>
      <c r="I306" s="105">
        <f>B308/D308</f>
        <v>0.49056603773584906</v>
      </c>
      <c r="J306" s="105">
        <f>1-I306</f>
        <v>0.50943396226415094</v>
      </c>
    </row>
    <row r="307" spans="1:10" x14ac:dyDescent="0.25">
      <c r="A307" s="3" t="s">
        <v>130</v>
      </c>
      <c r="B307" s="110">
        <f>COUNTIFS('Database kontormøbler - 2021'!$H$3:$H$55,'Utregning av grafer'!$A307,'Database kontormøbler - 2021'!$BN$3:$BN$55,1)+COUNTIFS('Database kontormøbler - 2021'!$H$3:$H$55,'Utregning av grafer'!$A282,'Database kontormøbler - 2021'!$BN$3:$BN$55,2)</f>
        <v>0</v>
      </c>
      <c r="C307" s="3">
        <f>COUNTIFS('Database kontormøbler - 2021'!$H$3:$H$55,'Utregning av grafer'!$A307,'Database kontormøbler - 2021'!$BN$3:$BN$55,0)</f>
        <v>3</v>
      </c>
      <c r="D307" s="3">
        <f t="shared" ref="D307" si="113">SUM(B307:C307)</f>
        <v>3</v>
      </c>
      <c r="F307" s="3" t="s">
        <v>130</v>
      </c>
      <c r="G307" s="105">
        <f t="shared" si="112"/>
        <v>0</v>
      </c>
    </row>
    <row r="308" spans="1:10" x14ac:dyDescent="0.25">
      <c r="A308" s="3" t="s">
        <v>562</v>
      </c>
      <c r="B308" s="3">
        <f>SUM(B305:B307)</f>
        <v>26</v>
      </c>
      <c r="C308" s="3">
        <f>SUM(C305:C307)</f>
        <v>27</v>
      </c>
      <c r="D308" s="3">
        <f>SUM(B308:C308)</f>
        <v>53</v>
      </c>
    </row>
    <row r="312" spans="1:10" ht="34.5" customHeight="1" x14ac:dyDescent="0.25">
      <c r="A312" s="102" t="s">
        <v>65</v>
      </c>
      <c r="B312" s="3" t="s">
        <v>572</v>
      </c>
      <c r="C312" s="3" t="s">
        <v>573</v>
      </c>
      <c r="D312" s="3" t="s">
        <v>562</v>
      </c>
      <c r="F312" s="3" t="s">
        <v>7</v>
      </c>
      <c r="G312" s="3" t="s">
        <v>563</v>
      </c>
      <c r="I312" s="143" t="s">
        <v>568</v>
      </c>
      <c r="J312" s="143"/>
    </row>
    <row r="313" spans="1:10" ht="45" x14ac:dyDescent="0.25">
      <c r="A313" s="3" t="s">
        <v>80</v>
      </c>
      <c r="B313" s="110">
        <f>COUNTIFS('Database kontormøbler - 2021'!$H$3:$H$55,'Utregning av grafer'!$A313,'Database kontormøbler - 2021'!$BO$3:$BO$55,1)+COUNTIFS('Database kontormøbler - 2021'!$H$3:$H$55,"Universitet/Høyskole",'Database kontormøbler - 2021'!$BO$3:$BO$55,1)</f>
        <v>4</v>
      </c>
      <c r="C313" s="110">
        <f>COUNTIFS('Database kontormøbler - 2021'!$H$3:$H$55,'Utregning av grafer'!$A313,'Database kontormøbler - 2021'!$BO$3:$BO$55,0)+COUNTIFS('Database kontormøbler - 2021'!$H$3:$H$55,"Universitet/Høyskole",'Database kontormøbler - 2021'!$BO$3:$BO$55,0)</f>
        <v>22</v>
      </c>
      <c r="D313" s="3">
        <f>SUM(B313:C313)</f>
        <v>26</v>
      </c>
      <c r="F313" s="3" t="s">
        <v>80</v>
      </c>
      <c r="G313" s="105">
        <f>B313/D313</f>
        <v>0.15384615384615385</v>
      </c>
      <c r="I313" s="5" t="s">
        <v>728</v>
      </c>
      <c r="J313" s="5" t="s">
        <v>658</v>
      </c>
    </row>
    <row r="314" spans="1:10" x14ac:dyDescent="0.25">
      <c r="A314" s="3" t="s">
        <v>99</v>
      </c>
      <c r="B314" s="3">
        <f>COUNTIFS('Database kontormøbler - 2021'!$H$3:$H$55,'Utregning av grafer'!$A314,'Database kontormøbler - 2021'!$BO$3:$BO$55,1)</f>
        <v>10</v>
      </c>
      <c r="C314" s="3">
        <f>COUNTIFS('Database kontormøbler - 2021'!$H$3:$H$55,'Utregning av grafer'!$A314,'Database kontormøbler - 2021'!$BO$3:$BO$55,0)</f>
        <v>14</v>
      </c>
      <c r="D314" s="3">
        <f>SUM(B314:C314)</f>
        <v>24</v>
      </c>
      <c r="F314" s="3" t="s">
        <v>99</v>
      </c>
      <c r="G314" s="105">
        <f t="shared" ref="G314:G315" si="114">B314/D314</f>
        <v>0.41666666666666669</v>
      </c>
      <c r="I314" s="105">
        <f>B316/D316</f>
        <v>0.28301886792452829</v>
      </c>
      <c r="J314" s="105">
        <f>1-I314</f>
        <v>0.71698113207547176</v>
      </c>
    </row>
    <row r="315" spans="1:10" x14ac:dyDescent="0.25">
      <c r="A315" s="3" t="s">
        <v>130</v>
      </c>
      <c r="B315" s="110">
        <f>COUNTIFS('Database kontormøbler - 2021'!$H$3:$H$55,'Utregning av grafer'!$A315,'Database kontormøbler - 2021'!$BO$3:$BO$55,1)+COUNTIFS('Database kontormøbler - 2021'!$H$3:$H$55,'Utregning av grafer'!$A290,'Database kontormøbler - 2021'!$BO$3:$BO$55,2)</f>
        <v>1</v>
      </c>
      <c r="C315" s="3">
        <f>COUNTIFS('Database kontormøbler - 2021'!$H$3:$H$55,'Utregning av grafer'!$A315,'Database kontormøbler - 2021'!$BO$3:$BO$55,0)</f>
        <v>2</v>
      </c>
      <c r="D315" s="3">
        <f t="shared" ref="D315" si="115">SUM(B315:C315)</f>
        <v>3</v>
      </c>
      <c r="F315" s="3" t="s">
        <v>130</v>
      </c>
      <c r="G315" s="105">
        <f t="shared" si="114"/>
        <v>0.33333333333333331</v>
      </c>
    </row>
    <row r="316" spans="1:10" x14ac:dyDescent="0.25">
      <c r="A316" s="3" t="s">
        <v>562</v>
      </c>
      <c r="B316" s="3">
        <f>SUM(B313:B315)</f>
        <v>15</v>
      </c>
      <c r="C316" s="3">
        <f>SUM(C313:C315)</f>
        <v>38</v>
      </c>
      <c r="D316" s="3">
        <f>SUM(B316:C316)</f>
        <v>53</v>
      </c>
    </row>
    <row r="320" spans="1:10" ht="34.5" customHeight="1" x14ac:dyDescent="0.25">
      <c r="A320" s="102" t="s">
        <v>729</v>
      </c>
      <c r="B320" s="3" t="s">
        <v>572</v>
      </c>
      <c r="C320" s="3" t="s">
        <v>573</v>
      </c>
      <c r="D320" s="3" t="s">
        <v>562</v>
      </c>
      <c r="F320" s="3" t="s">
        <v>7</v>
      </c>
      <c r="G320" s="3" t="s">
        <v>563</v>
      </c>
      <c r="I320" s="143" t="s">
        <v>568</v>
      </c>
      <c r="J320" s="143"/>
    </row>
    <row r="321" spans="1:10" ht="45" x14ac:dyDescent="0.25">
      <c r="A321" s="3" t="s">
        <v>80</v>
      </c>
      <c r="B321" s="3">
        <f>COUNTIFS('Database kontormøbler - 2021'!$H$3:$H$55,'Utregning av grafer'!$A321,'Database kontormøbler - 2021'!$BP$3:$BP$55,1)+COUNTIFS('Database kontormøbler - 2021'!$H$3:$H$55,"Universitet/Høyskole",'Database kontormøbler - 2021'!$BP$3:$BP$55,1)</f>
        <v>4</v>
      </c>
      <c r="C321" s="3">
        <f>COUNTIFS('Database kontormøbler - 2021'!$H$3:$H$55,'Utregning av grafer'!$A321,'Database kontormøbler - 2021'!$BP$3:$BP$55,0)+COUNTIFS('Database kontormøbler - 2021'!$H$3:$H$55,"Universitet/Høyskole",'Database kontormøbler - 2021'!$BP$3:$BP$55,0)</f>
        <v>22</v>
      </c>
      <c r="D321" s="3">
        <f>SUM(B321:C321)</f>
        <v>26</v>
      </c>
      <c r="F321" s="3" t="s">
        <v>80</v>
      </c>
      <c r="G321" s="105">
        <f>B321/D321</f>
        <v>0.15384615384615385</v>
      </c>
      <c r="I321" s="5" t="s">
        <v>730</v>
      </c>
      <c r="J321" s="5" t="s">
        <v>658</v>
      </c>
    </row>
    <row r="322" spans="1:10" x14ac:dyDescent="0.25">
      <c r="A322" s="3" t="s">
        <v>99</v>
      </c>
      <c r="B322" s="3">
        <f>COUNTIFS('Database kontormøbler - 2021'!$H$3:$H$55,'Utregning av grafer'!$A322,'Database kontormøbler - 2021'!$BP$3:$BP$55,1)</f>
        <v>9</v>
      </c>
      <c r="C322" s="3">
        <f>COUNTIFS('Database kontormøbler - 2021'!$H$3:$H$55,'Utregning av grafer'!$A322,'Database kontormøbler - 2021'!$BP$3:$BP$55,0)</f>
        <v>15</v>
      </c>
      <c r="D322" s="3">
        <f>SUM(B322:C322)</f>
        <v>24</v>
      </c>
      <c r="F322" s="3" t="s">
        <v>99</v>
      </c>
      <c r="G322" s="105">
        <f t="shared" ref="G322:G323" si="116">B322/D322</f>
        <v>0.375</v>
      </c>
      <c r="I322" s="105">
        <f>B324/D324</f>
        <v>0.24528301886792453</v>
      </c>
      <c r="J322" s="105">
        <f>1-I322</f>
        <v>0.75471698113207553</v>
      </c>
    </row>
    <row r="323" spans="1:10" x14ac:dyDescent="0.25">
      <c r="A323" s="3" t="s">
        <v>130</v>
      </c>
      <c r="B323" s="3">
        <f>COUNTIFS('Database kontormøbler - 2021'!$H$3:$H$55,'Utregning av grafer'!$A323,'Database kontormøbler - 2021'!$BP$3:$BP$55,1)+COUNTIFS('Database kontormøbler - 2021'!$H$3:$H$55,'Utregning av grafer'!$A298,'Database kontormøbler - 2021'!$BP$3:$BP$55,2)</f>
        <v>0</v>
      </c>
      <c r="C323" s="3">
        <f>COUNTIFS('Database kontormøbler - 2021'!$H$3:$H$55,'Utregning av grafer'!$A323,'Database kontormøbler - 2021'!$BP$3:$BP$55,0)</f>
        <v>3</v>
      </c>
      <c r="D323" s="3">
        <f t="shared" ref="D323" si="117">SUM(B323:C323)</f>
        <v>3</v>
      </c>
      <c r="F323" s="3" t="s">
        <v>130</v>
      </c>
      <c r="G323" s="105">
        <f t="shared" si="116"/>
        <v>0</v>
      </c>
    </row>
    <row r="324" spans="1:10" x14ac:dyDescent="0.25">
      <c r="A324" s="3" t="s">
        <v>562</v>
      </c>
      <c r="B324" s="3">
        <f>SUM(B321:B323)</f>
        <v>13</v>
      </c>
      <c r="C324" s="3">
        <f>SUM(C321:C323)</f>
        <v>40</v>
      </c>
      <c r="D324" s="3">
        <f>SUM(B324:C324)</f>
        <v>53</v>
      </c>
    </row>
    <row r="327" spans="1:10" ht="21" x14ac:dyDescent="0.35">
      <c r="A327" s="119" t="s">
        <v>731</v>
      </c>
    </row>
    <row r="328" spans="1:10" ht="75" x14ac:dyDescent="0.25">
      <c r="A328" s="102" t="s">
        <v>732</v>
      </c>
      <c r="B328" s="5" t="s">
        <v>733</v>
      </c>
      <c r="C328" s="5" t="s">
        <v>734</v>
      </c>
      <c r="D328" s="3" t="s">
        <v>573</v>
      </c>
      <c r="E328" s="3" t="s">
        <v>562</v>
      </c>
      <c r="G328" s="3" t="s">
        <v>7</v>
      </c>
      <c r="H328" s="5" t="str">
        <f>+B328</f>
        <v>Har stilt krav til menneskerettigheter</v>
      </c>
      <c r="I328" s="5" t="str">
        <f>+C328</f>
        <v>Har brukt Kriterieveiviserens krav til menneskerettigheter</v>
      </c>
    </row>
    <row r="329" spans="1:10" x14ac:dyDescent="0.25">
      <c r="A329" s="3" t="s">
        <v>80</v>
      </c>
      <c r="B329" s="3">
        <f>COUNTIFS('Database kontormøbler - 2021'!$H$3:$H$55,'Utregning av grafer'!$A329,'Database kontormøbler - 2021'!$BR$3:$BR$55,1)+COUNTIFS('Database kontormøbler - 2021'!$H$3:$H$55,"Universitet/Høyskole",'Database kontormøbler - 2021'!$BR$3:$BR$55,1)</f>
        <v>16</v>
      </c>
      <c r="C329" s="3">
        <f>+COUNTIFS('Database kontormøbler - 2021'!$H$3:$H$55,'Utregning av grafer'!$A329,'Database kontormøbler - 2021'!$BR$3:$BR$55,2)+COUNTIFS('Database kontormøbler - 2021'!$H$3:$H$55,"Universitet/Høyskole",'Database kontormøbler - 2021'!$BR$3:$BR$55,2)</f>
        <v>4</v>
      </c>
      <c r="D329" s="3">
        <f>+COUNTIFS('Database kontormøbler - 2021'!$H$3:$H$55,'Utregning av grafer'!$A329,'Database kontormøbler - 2021'!$BR$3:$BR$55,0)+COUNTIFS('Database kontormøbler - 2021'!$H$3:$H$55,"Universitet/Høyskole",'Database kontormøbler - 2021'!$BR$3:$BR$55,0)</f>
        <v>6</v>
      </c>
      <c r="E329" s="3">
        <f>SUM(B329:D329)</f>
        <v>26</v>
      </c>
      <c r="G329" s="3" t="s">
        <v>80</v>
      </c>
      <c r="H329" s="105">
        <f>+B329/E329</f>
        <v>0.61538461538461542</v>
      </c>
      <c r="I329" s="105">
        <f>+C329/E329</f>
        <v>0.15384615384615385</v>
      </c>
    </row>
    <row r="330" spans="1:10" x14ac:dyDescent="0.25">
      <c r="A330" s="3" t="s">
        <v>99</v>
      </c>
      <c r="B330" s="3">
        <f>COUNTIFS('Database kontormøbler - 2021'!$H$3:$H$55,'Utregning av grafer'!$A330,'Database kontormøbler - 2021'!$BR$3:$BR$55,1)</f>
        <v>15</v>
      </c>
      <c r="C330" s="3">
        <f>+COUNTIFS('Database kontormøbler - 2021'!$H$3:$H$55,'Utregning av grafer'!$A330,'Database kontormøbler - 2021'!$BR$3:$BR$55,2)</f>
        <v>2</v>
      </c>
      <c r="D330" s="3">
        <f>+COUNTIFS('Database kontormøbler - 2021'!$H$3:$H$55,'Utregning av grafer'!$A330,'Database kontormøbler - 2021'!$BR$3:$BR$55,0)</f>
        <v>7</v>
      </c>
      <c r="E330" s="3">
        <f>SUM(B330:D330)</f>
        <v>24</v>
      </c>
      <c r="G330" s="3" t="s">
        <v>99</v>
      </c>
      <c r="H330" s="105">
        <f t="shared" ref="H330:H331" si="118">+B330/E330</f>
        <v>0.625</v>
      </c>
      <c r="I330" s="105">
        <f t="shared" ref="I330:I331" si="119">+C330/E330</f>
        <v>8.3333333333333329E-2</v>
      </c>
    </row>
    <row r="331" spans="1:10" x14ac:dyDescent="0.25">
      <c r="A331" s="3" t="s">
        <v>130</v>
      </c>
      <c r="B331" s="3">
        <f>COUNTIFS('Database kontormøbler - 2021'!$H$3:$H$55,'Utregning av grafer'!$A331,'Database kontormøbler - 2021'!$BR$3:$BR$55,1)</f>
        <v>2</v>
      </c>
      <c r="C331" s="3">
        <f>+COUNTIFS('Database kontormøbler - 2021'!$H$3:$H$55,'Utregning av grafer'!$A331,'Database kontormøbler - 2021'!$BR$3:$BR$55,2)</f>
        <v>0</v>
      </c>
      <c r="D331" s="3">
        <f>+COUNTIFS('Database kontormøbler - 2021'!$H$3:$H$55,'Utregning av grafer'!$A331,'Database kontormøbler - 2021'!$BR$3:$BR$55,0)</f>
        <v>1</v>
      </c>
      <c r="E331" s="3">
        <f>SUM(B331:D331)</f>
        <v>3</v>
      </c>
      <c r="G331" s="3" t="s">
        <v>130</v>
      </c>
      <c r="H331" s="105">
        <f t="shared" si="118"/>
        <v>0.66666666666666663</v>
      </c>
      <c r="I331" s="105">
        <f t="shared" si="119"/>
        <v>0</v>
      </c>
    </row>
    <row r="332" spans="1:10" x14ac:dyDescent="0.25">
      <c r="A332" s="3" t="s">
        <v>627</v>
      </c>
      <c r="B332" s="3">
        <f>SUM(B329:B331)</f>
        <v>33</v>
      </c>
      <c r="C332" s="3">
        <f t="shared" ref="C332:D332" si="120">SUM(C329:C331)</f>
        <v>6</v>
      </c>
      <c r="D332" s="3">
        <f t="shared" si="120"/>
        <v>14</v>
      </c>
      <c r="E332" s="3">
        <f>SUM(E329:E331)</f>
        <v>53</v>
      </c>
    </row>
    <row r="333" spans="1:10" x14ac:dyDescent="0.25">
      <c r="A333" s="3" t="s">
        <v>735</v>
      </c>
      <c r="B333" s="111">
        <f>+B332/$E$332</f>
        <v>0.62264150943396224</v>
      </c>
      <c r="C333" s="111">
        <f t="shared" ref="C333:D333" si="121">+C332/$E$332</f>
        <v>0.11320754716981132</v>
      </c>
      <c r="D333" s="111">
        <f t="shared" si="121"/>
        <v>0.26415094339622641</v>
      </c>
      <c r="E333" s="3"/>
    </row>
    <row r="337" spans="1:10" ht="50.25" customHeight="1" x14ac:dyDescent="0.25">
      <c r="A337" s="102" t="s">
        <v>736</v>
      </c>
      <c r="B337" s="3" t="s">
        <v>572</v>
      </c>
      <c r="C337" s="3" t="s">
        <v>573</v>
      </c>
      <c r="D337" s="3" t="s">
        <v>562</v>
      </c>
      <c r="F337" s="3" t="s">
        <v>7</v>
      </c>
      <c r="G337" s="3" t="s">
        <v>563</v>
      </c>
      <c r="I337" s="143" t="s">
        <v>568</v>
      </c>
      <c r="J337" s="143"/>
    </row>
    <row r="338" spans="1:10" ht="75" x14ac:dyDescent="0.25">
      <c r="A338" s="3" t="s">
        <v>80</v>
      </c>
      <c r="B338" s="3">
        <f>COUNTIFS('Database kontormøbler - 2021'!$H$3:$H$55,'Utregning av grafer'!$A338,'Database kontormøbler - 2021'!$BT$3:$BT$55,1)+COUNTIFS('Database kontormøbler - 2021'!$H$3:$H$55,"Universitet/Høyskole",'Database kontormøbler - 2021'!$BT$3:$BT$55,1)</f>
        <v>13</v>
      </c>
      <c r="C338" s="3">
        <f>COUNTIFS('Database kontormøbler - 2021'!$H$3:$H$55,'Utregning av grafer'!$A338,'Database kontormøbler - 2021'!$BT$3:$BT$55,0)+COUNTIFS('Database kontormøbler - 2021'!$H$3:$H$55,"Universitet/Høyskole",'Database kontormøbler - 2021'!$BT$3:$BT$55,0)</f>
        <v>13</v>
      </c>
      <c r="D338" s="3">
        <f>SUM(B338:C338)</f>
        <v>26</v>
      </c>
      <c r="F338" s="3" t="s">
        <v>80</v>
      </c>
      <c r="G338" s="105">
        <f>B338/D338</f>
        <v>0.5</v>
      </c>
      <c r="I338" s="5" t="s">
        <v>737</v>
      </c>
      <c r="J338" s="5" t="s">
        <v>658</v>
      </c>
    </row>
    <row r="339" spans="1:10" x14ac:dyDescent="0.25">
      <c r="A339" s="3" t="s">
        <v>99</v>
      </c>
      <c r="B339" s="3">
        <f>COUNTIFS('Database kontormøbler - 2021'!$H$3:$H$55,'Utregning av grafer'!$A339,'Database kontormøbler - 2021'!$BT$3:$BT$55,1)</f>
        <v>16</v>
      </c>
      <c r="C339" s="3">
        <f>COUNTIFS('Database kontormøbler - 2021'!$H$3:$H$55,'Utregning av grafer'!$A339,'Database kontormøbler - 2021'!$BT$3:$BT$55,0)</f>
        <v>8</v>
      </c>
      <c r="D339" s="3">
        <f>SUM(B339:C339)</f>
        <v>24</v>
      </c>
      <c r="F339" s="3" t="s">
        <v>99</v>
      </c>
      <c r="G339" s="105">
        <f t="shared" ref="G339" si="122">B339/D339</f>
        <v>0.66666666666666663</v>
      </c>
      <c r="I339" s="105">
        <f>B341/D341</f>
        <v>0.58490566037735847</v>
      </c>
      <c r="J339" s="105">
        <f>1-I339</f>
        <v>0.41509433962264153</v>
      </c>
    </row>
    <row r="340" spans="1:10" x14ac:dyDescent="0.25">
      <c r="A340" s="3" t="s">
        <v>130</v>
      </c>
      <c r="B340" s="3">
        <f>COUNTIFS('Database kontormøbler - 2021'!$H$3:$H$55,'Utregning av grafer'!$A340,'Database kontormøbler - 2021'!$BT$3:$BT$55,1)+COUNTIFS('Database kontormøbler - 2021'!$H$3:$H$55,'Utregning av grafer'!$A315,'Database kontormøbler - 2021'!$BT$3:$BT$55,2)</f>
        <v>2</v>
      </c>
      <c r="C340" s="3">
        <f>COUNTIFS('Database kontormøbler - 2021'!$H$3:$H$55,'Utregning av grafer'!$A340,'Database kontormøbler - 2021'!$BT$3:$BT$55,0)</f>
        <v>1</v>
      </c>
      <c r="D340" s="3">
        <f t="shared" ref="D340" si="123">SUM(B340:C340)</f>
        <v>3</v>
      </c>
      <c r="F340" s="3" t="s">
        <v>130</v>
      </c>
      <c r="G340" s="105">
        <f>B340/D340</f>
        <v>0.66666666666666663</v>
      </c>
    </row>
    <row r="341" spans="1:10" x14ac:dyDescent="0.25">
      <c r="A341" s="3" t="s">
        <v>562</v>
      </c>
      <c r="B341" s="3">
        <f>SUM(B338:B340)</f>
        <v>31</v>
      </c>
      <c r="C341" s="3">
        <f>SUM(C338:C340)</f>
        <v>22</v>
      </c>
      <c r="D341" s="3">
        <f>SUM(B341:C341)</f>
        <v>53</v>
      </c>
    </row>
    <row r="345" spans="1:10" ht="50.25" customHeight="1" x14ac:dyDescent="0.25">
      <c r="A345" s="102" t="s">
        <v>738</v>
      </c>
      <c r="B345" s="3" t="s">
        <v>572</v>
      </c>
      <c r="C345" s="3" t="s">
        <v>573</v>
      </c>
      <c r="D345" s="3" t="s">
        <v>562</v>
      </c>
      <c r="F345" s="3" t="s">
        <v>7</v>
      </c>
      <c r="G345" s="3" t="s">
        <v>563</v>
      </c>
      <c r="I345" s="143" t="s">
        <v>568</v>
      </c>
      <c r="J345" s="143"/>
    </row>
    <row r="346" spans="1:10" ht="75" x14ac:dyDescent="0.25">
      <c r="A346" s="3" t="s">
        <v>80</v>
      </c>
      <c r="B346" s="110">
        <f>COUNTIFS('Database kontormøbler - 2021'!$H$3:$H$55,'Utregning av grafer'!$A346,'Database kontormøbler - 2021'!$BU$3:$BU$55,1)+COUNTIFS('Database kontormøbler - 2021'!$H$3:$H$55,"Universitet/Høyskole",'Database kontormøbler - 2021'!$BU$3:$BU$55,1)</f>
        <v>4</v>
      </c>
      <c r="C346" s="110">
        <f>COUNTIFS('Database kontormøbler - 2021'!$H$3:$H$55,'Utregning av grafer'!$A346,'Database kontormøbler - 2021'!$BU$3:$BU$55,0)+COUNTIFS('Database kontormøbler - 2021'!$H$3:$H$55,"Universitet/Høyskole",'Database kontormøbler - 2021'!$BU$3:$BU$55,0)</f>
        <v>22</v>
      </c>
      <c r="D346" s="3">
        <f>SUM(B346:C346)</f>
        <v>26</v>
      </c>
      <c r="F346" s="3" t="s">
        <v>80</v>
      </c>
      <c r="G346" s="105">
        <f>B346/D346</f>
        <v>0.15384615384615385</v>
      </c>
      <c r="I346" s="5" t="s">
        <v>739</v>
      </c>
      <c r="J346" s="5" t="s">
        <v>658</v>
      </c>
    </row>
    <row r="347" spans="1:10" x14ac:dyDescent="0.25">
      <c r="A347" s="3" t="s">
        <v>99</v>
      </c>
      <c r="B347" s="3">
        <f>COUNTIFS('Database kontormøbler - 2021'!$H$3:$H$55,'Utregning av grafer'!$A347,'Database kontormøbler - 2021'!$BU$3:$BU$55,1)</f>
        <v>3</v>
      </c>
      <c r="C347" s="3">
        <f>COUNTIFS('Database kontormøbler - 2021'!$H$3:$H$55,'Utregning av grafer'!$A347,'Database kontormøbler - 2021'!$BU$3:$BU$55,0)</f>
        <v>21</v>
      </c>
      <c r="D347" s="3">
        <f>SUM(B347:C347)</f>
        <v>24</v>
      </c>
      <c r="F347" s="3" t="s">
        <v>99</v>
      </c>
      <c r="G347" s="105">
        <f t="shared" ref="G347:G348" si="124">B347/D347</f>
        <v>0.125</v>
      </c>
      <c r="I347" s="105">
        <f>B349/D349</f>
        <v>0.15094339622641509</v>
      </c>
      <c r="J347" s="105">
        <f>1-I347</f>
        <v>0.84905660377358494</v>
      </c>
    </row>
    <row r="348" spans="1:10" x14ac:dyDescent="0.25">
      <c r="A348" s="3" t="s">
        <v>130</v>
      </c>
      <c r="B348" s="110">
        <f>COUNTIFS('Database kontormøbler - 2021'!$H$3:$H$55,'Utregning av grafer'!$A348,'Database kontormøbler - 2021'!$BU$3:$BU$55,1)+COUNTIFS('Database kontormøbler - 2021'!$H$3:$H$55,'Utregning av grafer'!$A323,'Database kontormøbler - 2021'!$BU$3:$BU$55,2)</f>
        <v>1</v>
      </c>
      <c r="C348" s="3">
        <f>COUNTIFS('Database kontormøbler - 2021'!$H$3:$H$55,'Utregning av grafer'!$A348,'Database kontormøbler - 2021'!$BU$3:$BU$55,0)</f>
        <v>2</v>
      </c>
      <c r="D348" s="3">
        <f t="shared" ref="D348" si="125">SUM(B348:C348)</f>
        <v>3</v>
      </c>
      <c r="F348" s="3" t="s">
        <v>130</v>
      </c>
      <c r="G348" s="105">
        <f t="shared" si="124"/>
        <v>0.33333333333333331</v>
      </c>
    </row>
    <row r="349" spans="1:10" x14ac:dyDescent="0.25">
      <c r="A349" s="3" t="s">
        <v>562</v>
      </c>
      <c r="B349" s="3">
        <f>SUM(B346:B348)</f>
        <v>8</v>
      </c>
      <c r="C349" s="3">
        <f>SUM(C346:C348)</f>
        <v>45</v>
      </c>
      <c r="D349" s="3">
        <f>SUM(B349:C349)</f>
        <v>53</v>
      </c>
    </row>
    <row r="353" spans="1:10" ht="50.25" customHeight="1" x14ac:dyDescent="0.25">
      <c r="A353" s="102" t="s">
        <v>740</v>
      </c>
      <c r="B353" s="3" t="s">
        <v>572</v>
      </c>
      <c r="C353" s="3" t="s">
        <v>573</v>
      </c>
      <c r="D353" s="3" t="s">
        <v>562</v>
      </c>
      <c r="F353" s="3" t="s">
        <v>7</v>
      </c>
      <c r="G353" s="3" t="s">
        <v>563</v>
      </c>
      <c r="I353" s="143" t="s">
        <v>568</v>
      </c>
      <c r="J353" s="143"/>
    </row>
    <row r="354" spans="1:10" ht="75" x14ac:dyDescent="0.25">
      <c r="A354" s="3" t="s">
        <v>80</v>
      </c>
      <c r="B354" s="110">
        <f>COUNTIFS('Database kontormøbler - 2021'!$H$3:$H$55,'Utregning av grafer'!$A354,'Database kontormøbler - 2021'!$BV$3:$BV$55,1)+COUNTIFS('Database kontormøbler - 2021'!$H$3:$H$55,"Universitet/Høyskole",'Database kontormøbler - 2021'!$BV$3:$BV$55,1)</f>
        <v>5</v>
      </c>
      <c r="C354" s="110">
        <f>COUNTIFS('Database kontormøbler - 2021'!$H$3:$H$55,'Utregning av grafer'!$A354,'Database kontormøbler - 2021'!$BV$3:$BV$55,0)+COUNTIFS('Database kontormøbler - 2021'!$H$3:$H$55,"Universitet/Høyskole",'Database kontormøbler - 2021'!$BV$3:$BV$55,0)</f>
        <v>21</v>
      </c>
      <c r="D354" s="3">
        <f>SUM(B354:C354)</f>
        <v>26</v>
      </c>
      <c r="F354" s="3" t="s">
        <v>80</v>
      </c>
      <c r="G354" s="105">
        <f>B354/D354</f>
        <v>0.19230769230769232</v>
      </c>
      <c r="I354" s="5" t="s">
        <v>741</v>
      </c>
      <c r="J354" s="5" t="s">
        <v>658</v>
      </c>
    </row>
    <row r="355" spans="1:10" x14ac:dyDescent="0.25">
      <c r="A355" s="3" t="s">
        <v>99</v>
      </c>
      <c r="B355" s="3">
        <f>COUNTIFS('Database kontormøbler - 2021'!$H$3:$H$55,'Utregning av grafer'!$A355,'Database kontormøbler - 2021'!$BV$3:$BV$55,1)</f>
        <v>1</v>
      </c>
      <c r="C355" s="3">
        <f>COUNTIFS('Database kontormøbler - 2021'!$H$3:$H$55,'Utregning av grafer'!$A355,'Database kontormøbler - 2021'!$BV$3:$BV$55,0)</f>
        <v>23</v>
      </c>
      <c r="D355" s="3">
        <f>SUM(B355:C355)</f>
        <v>24</v>
      </c>
      <c r="F355" s="3" t="s">
        <v>99</v>
      </c>
      <c r="G355" s="105">
        <f t="shared" ref="G355:G356" si="126">B355/D355</f>
        <v>4.1666666666666664E-2</v>
      </c>
      <c r="I355" s="105">
        <f>B357/D357</f>
        <v>0.11320754716981132</v>
      </c>
      <c r="J355" s="105">
        <f>1-I355</f>
        <v>0.8867924528301887</v>
      </c>
    </row>
    <row r="356" spans="1:10" x14ac:dyDescent="0.25">
      <c r="A356" s="3" t="s">
        <v>130</v>
      </c>
      <c r="B356" s="110">
        <f>COUNTIFS('Database kontormøbler - 2021'!$H$3:$H$55,'Utregning av grafer'!$A356,'Database kontormøbler - 2021'!$BV$3:$BV$55,1)+COUNTIFS('Database kontormøbler - 2021'!$H$3:$H$55,'Utregning av grafer'!$A331,'Database kontormøbler - 2021'!$BV$3:$BV$55,2)</f>
        <v>0</v>
      </c>
      <c r="C356" s="3">
        <f>COUNTIFS('Database kontormøbler - 2021'!$H$3:$H$55,'Utregning av grafer'!$A356,'Database kontormøbler - 2021'!$BV$3:$BV$55,0)</f>
        <v>3</v>
      </c>
      <c r="D356" s="3">
        <f t="shared" ref="D356" si="127">SUM(B356:C356)</f>
        <v>3</v>
      </c>
      <c r="F356" s="3" t="s">
        <v>130</v>
      </c>
      <c r="G356" s="105">
        <f t="shared" si="126"/>
        <v>0</v>
      </c>
    </row>
    <row r="357" spans="1:10" x14ac:dyDescent="0.25">
      <c r="A357" s="3" t="s">
        <v>562</v>
      </c>
      <c r="B357" s="3">
        <f>SUM(B354:B356)</f>
        <v>6</v>
      </c>
      <c r="C357" s="3">
        <f>SUM(C354:C356)</f>
        <v>47</v>
      </c>
      <c r="D357" s="3">
        <f>SUM(B357:C357)</f>
        <v>53</v>
      </c>
    </row>
    <row r="360" spans="1:10" x14ac:dyDescent="0.25">
      <c r="A360" t="s">
        <v>742</v>
      </c>
    </row>
    <row r="361" spans="1:10" x14ac:dyDescent="0.25">
      <c r="A361" t="s">
        <v>743</v>
      </c>
      <c r="B361" s="97">
        <f>+AVERAGE(Tabell2[Vekting av miljø (%)])</f>
        <v>8.6792452830188688E-2</v>
      </c>
    </row>
    <row r="362" spans="1:10" x14ac:dyDescent="0.25">
      <c r="A362" t="s">
        <v>744</v>
      </c>
      <c r="B362" s="97">
        <f>+AVERAGE(Tabell2[Vekting av pris (%)])</f>
        <v>0.51037735849056587</v>
      </c>
    </row>
    <row r="363" spans="1:10" x14ac:dyDescent="0.25">
      <c r="A363" t="s">
        <v>745</v>
      </c>
      <c r="B363" s="97">
        <f>+AVERAGE(Tabell2[Vekting av kvalitet og service (%)])</f>
        <v>0.40283018867924519</v>
      </c>
    </row>
    <row r="364" spans="1:10" x14ac:dyDescent="0.25">
      <c r="B364" s="131"/>
    </row>
  </sheetData>
  <mergeCells count="36">
    <mergeCell ref="I337:J337"/>
    <mergeCell ref="I345:J345"/>
    <mergeCell ref="I353:J353"/>
    <mergeCell ref="R89:S89"/>
    <mergeCell ref="I296:J296"/>
    <mergeCell ref="I304:J304"/>
    <mergeCell ref="I312:J312"/>
    <mergeCell ref="I320:J320"/>
    <mergeCell ref="I234:J234"/>
    <mergeCell ref="I242:J242"/>
    <mergeCell ref="I250:J250"/>
    <mergeCell ref="I258:J258"/>
    <mergeCell ref="I266:J266"/>
    <mergeCell ref="I89:J89"/>
    <mergeCell ref="I168:J168"/>
    <mergeCell ref="I49:J49"/>
    <mergeCell ref="R49:S49"/>
    <mergeCell ref="I57:J57"/>
    <mergeCell ref="R57:S57"/>
    <mergeCell ref="I33:J33"/>
    <mergeCell ref="R33:S33"/>
    <mergeCell ref="I41:J41"/>
    <mergeCell ref="R41:S41"/>
    <mergeCell ref="F16:G16"/>
    <mergeCell ref="L16:N16"/>
    <mergeCell ref="R16:S16"/>
    <mergeCell ref="I16:J16"/>
    <mergeCell ref="F25:G25"/>
    <mergeCell ref="I25:J25"/>
    <mergeCell ref="R25:S25"/>
    <mergeCell ref="I65:J65"/>
    <mergeCell ref="R65:S65"/>
    <mergeCell ref="I73:J73"/>
    <mergeCell ref="R73:S73"/>
    <mergeCell ref="I81:J81"/>
    <mergeCell ref="R81:S81"/>
  </mergeCells>
  <dataValidations count="4">
    <dataValidation allowBlank="1" showInputMessage="1" showErrorMessage="1" prompt="Krav til kvalitet, robuste møbeltekstiler, design for lang levetid, merking av plast, LCC/TCO, enkel rengjøring, bruk av resirkulert materiale, produktet skal kunne materialgjenvinnes" sqref="A98" xr:uid="{73A9CEF0-DA44-4EDA-AF2D-F924F697D482}"/>
    <dataValidation allowBlank="1" showInputMessage="1" showErrorMessage="1" prompt="0 = ikke nevnt_x000a_1 = enkel rengjøring er nevnt_x000a_2 = DFØ krav om enkel rengjøring av møbler er brukt" sqref="O113" xr:uid="{918D9C6F-BCDA-4417-ADE6-D3CC47EC6552}"/>
    <dataValidation allowBlank="1" showInputMessage="1" showErrorMessage="1" prompt="Oppgitt i antall år_x000a__x000a_Se kommentar for ordrett bruk av kriterieveiviseren" sqref="N113" xr:uid="{6A51F808-268D-441F-85CD-8225312DF705}"/>
    <dataValidation allowBlank="1" showInputMessage="1" showErrorMessage="1" prompt="Krav til at leverandøren skal kunne levere brukte møbler, brukte møbler er untatt fra avtalen, leie av møbler, leverandøren skal ta tilbake brukte møbler, leverandøren skal videreselge de brukte møblene, serviceavtale/reparasjonsavtale" sqref="A111" xr:uid="{EC2C2AE6-5CA3-4830-8FEA-481CDAF25D7F}"/>
  </dataValidations>
  <pageMargins left="0.7" right="0.7" top="0.75" bottom="0.75" header="0.3" footer="0.3"/>
  <pageSetup paperSize="9" orientation="portrait" r:id="rId1"/>
  <ignoredErrors>
    <ignoredError sqref="F112:K112" formulaRange="1"/>
    <ignoredError sqref="J218 N218 L5 V5 AW6" 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A739FE704F80C14DA225DF2A1DC23842" ma:contentTypeVersion="17" ma:contentTypeDescription="Opprett et nytt dokument." ma:contentTypeScope="" ma:versionID="87c6a4ded307f8a021e1d86d68ac72de">
  <xsd:schema xmlns:xsd="http://www.w3.org/2001/XMLSchema" xmlns:xs="http://www.w3.org/2001/XMLSchema" xmlns:p="http://schemas.microsoft.com/office/2006/metadata/properties" xmlns:ns2="5371e8e2-a9e8-46df-a91b-761db99c8728" xmlns:ns3="7bfd8652-9f54-45a4-9684-efa1596a6182" xmlns:ns4="adbb2028-43e6-4cc2-a67b-7a6125cf5ee2" xmlns:ns5="82b74a00-43a6-4076-ac55-a30bded87187" targetNamespace="http://schemas.microsoft.com/office/2006/metadata/properties" ma:root="true" ma:fieldsID="f4fd2497294aa106baeaba40664ef3b5" ns2:_="" ns3:_="" ns4:_="" ns5:_="">
    <xsd:import namespace="5371e8e2-a9e8-46df-a91b-761db99c8728"/>
    <xsd:import namespace="7bfd8652-9f54-45a4-9684-efa1596a6182"/>
    <xsd:import namespace="adbb2028-43e6-4cc2-a67b-7a6125cf5ee2"/>
    <xsd:import namespace="82b74a00-43a6-4076-ac55-a30bded87187"/>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DateTaken"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4:MediaLengthInSeconds" minOccurs="0"/>
                <xsd:element ref="ns4:Tekstansvarlig" minOccurs="0"/>
                <xsd:element ref="ns4:Kontrollansvarli" minOccurs="0"/>
                <xsd:element ref="ns4:Godkjenner" minOccurs="0"/>
                <xsd:element ref="ns4:Status" minOccurs="0"/>
                <xsd:element ref="ns4:Emne" minOccurs="0"/>
                <xsd:element ref="ns4:Funksjon" minOccurs="0"/>
                <xsd:element ref="ns4:Niv_x00e5_" minOccurs="0"/>
                <xsd:element ref="ns4:Fase" minOccurs="0"/>
                <xsd:element ref="ns4:Revisjonsbehov" minOccurs="0"/>
                <xsd:element ref="ns4:lcf76f155ced4ddcb4097134ff3c332f" minOccurs="0"/>
                <xsd:element ref="ns5: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71e8e2-a9e8-46df-a91b-761db99c87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DateTaken" ma:index="11" nillable="true" ma:displayName="MediaServiceDateTaken" ma:hidden="true" ma:internalName="MediaServiceDateTaken"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bfd8652-9f54-45a4-9684-efa1596a6182" elementFormDefault="qualified">
    <xsd:import namespace="http://schemas.microsoft.com/office/2006/documentManagement/types"/>
    <xsd:import namespace="http://schemas.microsoft.com/office/infopath/2007/PartnerControls"/>
    <xsd:element name="SharedWithUsers" ma:index="13"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lingsdetaljer"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dbb2028-43e6-4cc2-a67b-7a6125cf5ee2" elementFormDefault="qualified">
    <xsd:import namespace="http://schemas.microsoft.com/office/2006/documentManagement/types"/>
    <xsd:import namespace="http://schemas.microsoft.com/office/infopath/2007/PartnerControls"/>
    <xsd:element name="MediaLengthInSeconds" ma:index="19" nillable="true" ma:displayName="Length (seconds)" ma:internalName="MediaLengthInSeconds" ma:readOnly="true">
      <xsd:simpleType>
        <xsd:restriction base="dms:Unknown"/>
      </xsd:simpleType>
    </xsd:element>
    <xsd:element name="Tekstansvarlig" ma:index="20" nillable="true" ma:displayName="Tekstansvarlig" ma:description="Den som redigerer utkast" ma:format="Dropdown" ma:list="UserInfo" ma:SharePointGroup="0" ma:internalName="Tekstansvarlig">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Kontrollansvarli" ma:index="21" nillable="true" ma:displayName="Kontrollansvarli" ma:description="Den som kvalitetssikrer tekstutkastet. Må være en annen enn tekstansvarlig." ma:format="Dropdown" ma:list="UserInfo" ma:SharePointGroup="0" ma:internalName="Kontrollansvarli">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Godkjenner" ma:index="22" nillable="true" ma:displayName="Godkjenner" ma:description="Den som godkjenner etter KS. Kan være samme som ansvarlig for tekst eller kontroll, men ikke begge." ma:format="Dropdown" ma:list="UserInfo" ma:SharePointGroup="0" ma:internalName="Godkjen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23" nillable="true" ma:displayName="Status" ma:default="Ikke påbegynt" ma:description="Hvor langt har man kommet med teksten" ma:format="RadioButtons" ma:internalName="Status">
      <xsd:simpleType>
        <xsd:restriction base="dms:Choice">
          <xsd:enumeration value="Ikke påbegynt"/>
          <xsd:enumeration value="Under arbeid"/>
          <xsd:enumeration value="Til KS"/>
          <xsd:enumeration value="Til Godkjenning"/>
          <xsd:enumeration value="Godkjent"/>
        </xsd:restriction>
      </xsd:simpleType>
    </xsd:element>
    <xsd:element name="Emne" ma:index="24" nillable="true" ma:displayName="Emne" ma:description="Kategori i kriteriveiviseren 1.0" ma:format="Dropdown" ma:internalName="Emne">
      <xsd:complexType>
        <xsd:complexContent>
          <xsd:extension base="dms:MultiChoice">
            <xsd:sequence>
              <xsd:element name="Value" maxOccurs="unbounded" minOccurs="0" nillable="true">
                <xsd:simpleType>
                  <xsd:restriction base="dms:Choice">
                    <xsd:enumeration value="Energi"/>
                    <xsd:enumeration value="Inneklima"/>
                    <xsd:enumeration value="Ledelse"/>
                    <xsd:enumeration value="LCC"/>
                    <xsd:enumeration value="Materialer"/>
                    <xsd:enumeration value="Rigg og drift"/>
                    <xsd:enumeration value="Transport"/>
                    <xsd:enumeration value="Utslipp fra byggeplass"/>
                    <xsd:enumeration value="Økologi og overvann"/>
                    <xsd:enumeration value="Menneskerettigheter"/>
                  </xsd:restriction>
                </xsd:simpleType>
              </xsd:element>
            </xsd:sequence>
          </xsd:extension>
        </xsd:complexContent>
      </xsd:complexType>
    </xsd:element>
    <xsd:element name="Funksjon" ma:index="25" nillable="true" ma:displayName="Funksjon" ma:description="Funksjon i anskaffelsesprosessen" ma:format="Dropdown" ma:internalName="Funksjon">
      <xsd:simpleType>
        <xsd:restriction base="dms:Choice">
          <xsd:enumeration value="Teknisk spesifikasjon"/>
          <xsd:enumeration value="Kvalifikasjon"/>
          <xsd:enumeration value="Tildeling"/>
          <xsd:enumeration value="Kontraktskrav"/>
        </xsd:restriction>
      </xsd:simpleType>
    </xsd:element>
    <xsd:element name="Niv_x00e5_" ma:index="26" nillable="true" ma:displayName="Nivå" ma:default="Basis" ma:description="Bærekraftsambisjoner" ma:format="Dropdown" ma:internalName="Niv_x00e5_">
      <xsd:simpleType>
        <xsd:restriction base="dms:Choice">
          <xsd:enumeration value="Avansert"/>
          <xsd:enumeration value="Basis"/>
          <xsd:enumeration value="Spydspiss"/>
        </xsd:restriction>
      </xsd:simpleType>
    </xsd:element>
    <xsd:element name="Fase" ma:index="27" nillable="true" ma:displayName="Fase" ma:format="Dropdown" ma:internalName="Fase">
      <xsd:complexType>
        <xsd:complexContent>
          <xsd:extension base="dms:MultiChoice">
            <xsd:sequence>
              <xsd:element name="Value" maxOccurs="unbounded" minOccurs="0" nillable="true">
                <xsd:simpleType>
                  <xsd:restriction base="dms:Choice">
                    <xsd:enumeration value="Prosjektering"/>
                    <xsd:enumeration value="Totalentreprise"/>
                  </xsd:restriction>
                </xsd:simpleType>
              </xsd:element>
            </xsd:sequence>
          </xsd:extension>
        </xsd:complexContent>
      </xsd:complexType>
    </xsd:element>
    <xsd:element name="Revisjonsbehov" ma:index="28" nillable="true" ma:displayName="Revisjonsbehov" ma:format="Dropdown" ma:internalName="Revisjonsbehov">
      <xsd:simpleType>
        <xsd:restriction base="dms:Choice">
          <xsd:enumeration value="Beholdes uten endringer"/>
          <xsd:enumeration value="Må endres"/>
          <xsd:enumeration value="Slettes"/>
          <xsd:enumeration value="Nytt krav"/>
          <xsd:enumeration value="Fjernes / oppdateres etter Q4"/>
        </xsd:restriction>
      </xsd:simpleType>
    </xsd:element>
    <xsd:element name="lcf76f155ced4ddcb4097134ff3c332f" ma:index="30" nillable="true" ma:taxonomy="true" ma:internalName="lcf76f155ced4ddcb4097134ff3c332f" ma:taxonomyFieldName="MediaServiceImageTags" ma:displayName="Bildemerkelapper" ma:readOnly="false" ma:fieldId="{5cf76f15-5ced-4ddc-b409-7134ff3c332f}" ma:taxonomyMulti="true" ma:sspId="eb0be57b-a27d-473a-a780-396a80130851"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2b74a00-43a6-4076-ac55-a30bded87187" elementFormDefault="qualified">
    <xsd:import namespace="http://schemas.microsoft.com/office/2006/documentManagement/types"/>
    <xsd:import namespace="http://schemas.microsoft.com/office/infopath/2007/PartnerControls"/>
    <xsd:element name="TaxCatchAll" ma:index="31" nillable="true" ma:displayName="Taxonomy Catch All Column" ma:hidden="true" ma:list="{0529d230-0ab2-4853-b0ca-7c1faee354f2}" ma:internalName="TaxCatchAll" ma:showField="CatchAllData" ma:web="82b74a00-43a6-4076-ac55-a30bded8718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tatus xmlns="adbb2028-43e6-4cc2-a67b-7a6125cf5ee2">Ikke påbegynt</Status>
    <Niv_x00e5_ xmlns="adbb2028-43e6-4cc2-a67b-7a6125cf5ee2">Basis</Niv_x00e5_>
    <Fase xmlns="adbb2028-43e6-4cc2-a67b-7a6125cf5ee2" xsi:nil="true"/>
    <Tekstansvarlig xmlns="adbb2028-43e6-4cc2-a67b-7a6125cf5ee2">
      <UserInfo>
        <DisplayName/>
        <AccountId xsi:nil="true"/>
        <AccountType/>
      </UserInfo>
    </Tekstansvarlig>
    <TaxCatchAll xmlns="82b74a00-43a6-4076-ac55-a30bded87187" xsi:nil="true"/>
    <Funksjon xmlns="adbb2028-43e6-4cc2-a67b-7a6125cf5ee2" xsi:nil="true"/>
    <Godkjenner xmlns="adbb2028-43e6-4cc2-a67b-7a6125cf5ee2">
      <UserInfo>
        <DisplayName/>
        <AccountId xsi:nil="true"/>
        <AccountType/>
      </UserInfo>
    </Godkjenner>
    <Kontrollansvarli xmlns="adbb2028-43e6-4cc2-a67b-7a6125cf5ee2">
      <UserInfo>
        <DisplayName/>
        <AccountId xsi:nil="true"/>
        <AccountType/>
      </UserInfo>
    </Kontrollansvarli>
    <Revisjonsbehov xmlns="adbb2028-43e6-4cc2-a67b-7a6125cf5ee2" xsi:nil="true"/>
    <Emne xmlns="adbb2028-43e6-4cc2-a67b-7a6125cf5ee2" xsi:nil="true"/>
    <lcf76f155ced4ddcb4097134ff3c332f xmlns="adbb2028-43e6-4cc2-a67b-7a6125cf5ee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FC6AA25-3361-46C0-A317-4A11BC2349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71e8e2-a9e8-46df-a91b-761db99c8728"/>
    <ds:schemaRef ds:uri="7bfd8652-9f54-45a4-9684-efa1596a6182"/>
    <ds:schemaRef ds:uri="adbb2028-43e6-4cc2-a67b-7a6125cf5ee2"/>
    <ds:schemaRef ds:uri="82b74a00-43a6-4076-ac55-a30bded8718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279E6FA-D3EE-4415-BB4D-A10CE2B2D3CD}">
  <ds:schemaRefs>
    <ds:schemaRef ds:uri="http://schemas.microsoft.com/sharepoint/v3/contenttype/forms"/>
  </ds:schemaRefs>
</ds:datastoreItem>
</file>

<file path=customXml/itemProps3.xml><?xml version="1.0" encoding="utf-8"?>
<ds:datastoreItem xmlns:ds="http://schemas.openxmlformats.org/officeDocument/2006/customXml" ds:itemID="{DB24ED94-5E18-4391-B337-DEB5F8AAB1D0}">
  <ds:schemaRefs>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http://schemas.microsoft.com/office/infopath/2007/PartnerControls"/>
    <ds:schemaRef ds:uri="82b74a00-43a6-4076-ac55-a30bded87187"/>
    <ds:schemaRef ds:uri="adbb2028-43e6-4cc2-a67b-7a6125cf5ee2"/>
    <ds:schemaRef ds:uri="http://purl.org/dc/terms/"/>
    <ds:schemaRef ds:uri="7bfd8652-9f54-45a4-9684-efa1596a6182"/>
    <ds:schemaRef ds:uri="5371e8e2-a9e8-46df-a91b-761db99c8728"/>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3</vt:i4>
      </vt:variant>
    </vt:vector>
  </HeadingPairs>
  <TitlesOfParts>
    <vt:vector size="3" baseType="lpstr">
      <vt:lpstr>Database kontormøbler - 2021</vt:lpstr>
      <vt:lpstr>Database møbler 2021 - grafer</vt:lpstr>
      <vt:lpstr>Utregning av grafer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Miriam Odden</cp:lastModifiedBy>
  <cp:revision/>
  <dcterms:created xsi:type="dcterms:W3CDTF">2022-05-31T08:58:08Z</dcterms:created>
  <dcterms:modified xsi:type="dcterms:W3CDTF">2022-10-26T05:54:49Z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0x010100A739FE704F80C14DA225DF2A1DC23842</vt:lpwstr>
  </property>
  <property fmtid="{D5CDD505-2E9C-101B-9397-08002B2CF9AE}" pid="3" name="MediaServiceImageTags">
    <vt:lpwstr/>
  </property>
</Properties>
</file>